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Fit" sheetId="1" r:id="rId1"/>
    <sheet name="ASW15_owners_club" sheetId="2" r:id="rId2"/>
    <sheet name="Constants" sheetId="3" r:id="rId3"/>
  </sheets>
  <definedNames>
    <definedName name="KNOTS_PER_FPM">'Constants'!$B$1</definedName>
    <definedName name="KNOTS_PER_KPH">'Constants'!$B$4</definedName>
    <definedName name="KNOTS_PER_MPH">'Constants'!$B$5</definedName>
    <definedName name="KNOTS_PER_MPS">'Constants'!$B$3</definedName>
    <definedName name="LBS_PER_KG">'Constants'!$B$2</definedName>
    <definedName name="polar_a" localSheetId="0">'Fit'!$I$11</definedName>
    <definedName name="polar_b" localSheetId="0">'Fit'!$I$12</definedName>
    <definedName name="polar_c" localSheetId="0">'Fit'!$I$13</definedName>
    <definedName name="_xlnm.Print_Area" localSheetId="0">'Fit'!$A$1:$K$50</definedName>
    <definedName name="SINK1">'Fit'!$D$7</definedName>
    <definedName name="SINK2">'Fit'!$D$8</definedName>
    <definedName name="SINK3">'Fit'!$D$9</definedName>
    <definedName name="solver_adj" localSheetId="0" hidden="1">'Fit'!$D$7:$D$9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'Fit'!$L$50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erm1" localSheetId="0">'Fit'!$I$8</definedName>
    <definedName name="term2" localSheetId="0">'Fit'!$I$6</definedName>
    <definedName name="term3" localSheetId="0">'Fit'!$I$9</definedName>
    <definedName name="term4" localSheetId="0">'Fit'!$I$7</definedName>
    <definedName name="VEL1">'Fit'!$B$7</definedName>
    <definedName name="VEL2">'Fit'!$B$8</definedName>
    <definedName name="VEL3">'Fit'!$B$9</definedName>
  </definedNames>
  <calcPr fullCalcOnLoad="1"/>
</workbook>
</file>

<file path=xl/sharedStrings.xml><?xml version="1.0" encoding="utf-8"?>
<sst xmlns="http://schemas.openxmlformats.org/spreadsheetml/2006/main" count="60" uniqueCount="54">
  <si>
    <t>Rounded and tweaked for best entry fit</t>
  </si>
  <si>
    <t>Vel, kt</t>
  </si>
  <si>
    <t>Sink, kt</t>
  </si>
  <si>
    <t>Sink, fpm</t>
  </si>
  <si>
    <t>LD</t>
  </si>
  <si>
    <t>term2</t>
  </si>
  <si>
    <t>VEL1</t>
  </si>
  <si>
    <t>SINK1</t>
  </si>
  <si>
    <t>term4</t>
  </si>
  <si>
    <t>VEL2</t>
  </si>
  <si>
    <t>SINK2</t>
  </si>
  <si>
    <t>term1</t>
  </si>
  <si>
    <t>VEL3</t>
  </si>
  <si>
    <t>SINK3</t>
  </si>
  <si>
    <t>term3</t>
  </si>
  <si>
    <t>V, S maxLD</t>
  </si>
  <si>
    <t>polar_a</t>
  </si>
  <si>
    <t>polar_b</t>
  </si>
  <si>
    <t>polar_c</t>
  </si>
  <si>
    <t>Computed sink</t>
  </si>
  <si>
    <t>Fit These Columns...</t>
  </si>
  <si>
    <t xml:space="preserve"> Vmasse</t>
  </si>
  <si>
    <t xml:space="preserve"> Vsink</t>
  </si>
  <si>
    <t>Vx</t>
  </si>
  <si>
    <t>Vy</t>
  </si>
  <si>
    <t>Vy calcd</t>
  </si>
  <si>
    <t>Sink error</t>
  </si>
  <si>
    <t>Input LD</t>
  </si>
  <si>
    <t>Calcd LD</t>
  </si>
  <si>
    <t>Book Sink</t>
  </si>
  <si>
    <t>error^2</t>
  </si>
  <si>
    <t xml:space="preserve"> [km/h]</t>
  </si>
  <si>
    <t xml:space="preserve"> [m/s]</t>
  </si>
  <si>
    <t>CAS, kts</t>
  </si>
  <si>
    <t>knots</t>
  </si>
  <si>
    <t>fpm</t>
  </si>
  <si>
    <t>KNOTS_PER_FPM</t>
  </si>
  <si>
    <t>LBS_PER_KG</t>
  </si>
  <si>
    <t>KNOTS_PER_MPS</t>
  </si>
  <si>
    <t>KNOTS_PER_KPH</t>
  </si>
  <si>
    <t>KNOTS_PER_MPH</t>
  </si>
  <si>
    <t>Polar imported from http://www.asw15.org/index.php?topic=944.0</t>
  </si>
  <si>
    <t>Unfortunately, weight is not specified for this polar!!</t>
  </si>
  <si>
    <t>Knots</t>
  </si>
  <si>
    <t>.</t>
  </si>
  <si>
    <t>m/s</t>
  </si>
  <si>
    <t>mph</t>
  </si>
  <si>
    <t>Saved Curve Fit</t>
  </si>
  <si>
    <t>Ballast capacity: ??? kg.</t>
  </si>
  <si>
    <t>???</t>
  </si>
  <si>
    <t>ASW-15 for Sarah Arnold, polar fit from Schleicher web page polar</t>
  </si>
  <si>
    <t>Standard mass (polar measurement weight): 305 kg.</t>
  </si>
  <si>
    <t>min Sink @</t>
  </si>
  <si>
    <t>&lt;&lt;exagerated error to acentuate max LD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</si>
</sst>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</numFmts>
  <fonts count="45">
    <font>
      <sz val="10"/>
      <name val="Arial CE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sz val="12"/>
      <name val="Arial"/>
      <family val="2"/>
    </font>
    <font>
      <sz val="9.9"/>
      <color indexed="8"/>
      <name val="Arial"/>
      <family val="2"/>
    </font>
    <font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right"/>
      <protection/>
    </xf>
    <xf numFmtId="166" fontId="3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>
      <alignment/>
    </xf>
    <xf numFmtId="2" fontId="0" fillId="0" borderId="0" xfId="0" applyNumberFormat="1" applyFont="1" applyAlignment="1">
      <alignment wrapText="1"/>
    </xf>
    <xf numFmtId="164" fontId="8" fillId="0" borderId="0" xfId="0" applyNumberFormat="1" applyFont="1" applyAlignment="1">
      <alignment/>
    </xf>
    <xf numFmtId="0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5" fillId="0" borderId="12" xfId="0" applyNumberFormat="1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w15.org/index.php?topic=944.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="85" zoomScaleNormal="85" zoomScalePageLayoutView="0" workbookViewId="0" topLeftCell="A22">
      <selection activeCell="L50" sqref="L50"/>
    </sheetView>
  </sheetViews>
  <sheetFormatPr defaultColWidth="9.00390625" defaultRowHeight="12.75"/>
  <cols>
    <col min="1" max="1" width="15.25390625" style="1" customWidth="1"/>
    <col min="2" max="2" width="13.625" style="1" customWidth="1"/>
    <col min="3" max="3" width="3.875" style="1" customWidth="1"/>
    <col min="4" max="4" width="11.125" style="1" customWidth="1"/>
    <col min="5" max="5" width="11.50390625" style="1" customWidth="1"/>
    <col min="6" max="6" width="8.75390625" style="1" customWidth="1"/>
    <col min="7" max="7" width="4.875" style="1" customWidth="1"/>
    <col min="8" max="8" width="9.00390625" style="1" customWidth="1"/>
    <col min="9" max="9" width="9.25390625" style="1" customWidth="1"/>
    <col min="10" max="13" width="8.875" style="1" customWidth="1"/>
    <col min="14" max="14" width="8.875" style="2" customWidth="1"/>
    <col min="15" max="15" width="8.875" style="3" customWidth="1"/>
    <col min="16" max="16384" width="8.875" style="1" customWidth="1"/>
  </cols>
  <sheetData>
    <row r="1" spans="1:15" s="5" customFormat="1" ht="15">
      <c r="A1" s="4" t="s">
        <v>50</v>
      </c>
      <c r="N1" s="6"/>
      <c r="O1" s="7"/>
    </row>
    <row r="2" ht="12.75">
      <c r="A2" s="45" t="s">
        <v>48</v>
      </c>
    </row>
    <row r="3" ht="12.75">
      <c r="A3" s="45" t="s">
        <v>51</v>
      </c>
    </row>
    <row r="4" ht="12.75">
      <c r="A4" s="8"/>
    </row>
    <row r="5" spans="1:13" ht="15">
      <c r="A5" s="9"/>
      <c r="B5" s="10" t="s">
        <v>0</v>
      </c>
      <c r="D5"/>
      <c r="K5" s="10" t="s">
        <v>47</v>
      </c>
      <c r="L5"/>
      <c r="M5" s="11"/>
    </row>
    <row r="6" spans="1:13" ht="15">
      <c r="A6"/>
      <c r="B6" s="11" t="s">
        <v>1</v>
      </c>
      <c r="C6" s="11"/>
      <c r="D6" s="11" t="s">
        <v>2</v>
      </c>
      <c r="E6" s="12" t="s">
        <v>3</v>
      </c>
      <c r="F6" s="11" t="s">
        <v>4</v>
      </c>
      <c r="G6" s="12"/>
      <c r="H6" s="13" t="s">
        <v>5</v>
      </c>
      <c r="I6" s="1">
        <f>((VEL1*VEL1)*(VEL2-VEL3))+((VEL2*VEL2)*(VEL3-VEL1))+((VEL3*VEL3)*(VEL1-VEL2))</f>
        <v>-18480</v>
      </c>
      <c r="K6" s="11" t="s">
        <v>1</v>
      </c>
      <c r="L6" s="11" t="s">
        <v>2</v>
      </c>
      <c r="M6" s="11"/>
    </row>
    <row r="7" spans="1:18" ht="13.5" customHeight="1">
      <c r="A7" s="14" t="s">
        <v>6</v>
      </c>
      <c r="B7" s="15">
        <v>46</v>
      </c>
      <c r="C7" s="16" t="s">
        <v>7</v>
      </c>
      <c r="D7" s="17">
        <v>1.31</v>
      </c>
      <c r="E7" s="18">
        <f>SINK1/KNOTS_PER_FPM</f>
        <v>132.66270591412368</v>
      </c>
      <c r="F7" s="19">
        <f>B7/D7</f>
        <v>35.11450381679389</v>
      </c>
      <c r="G7" s="18"/>
      <c r="H7" s="13" t="s">
        <v>8</v>
      </c>
      <c r="I7" s="1">
        <f>VEL2-VEL3</f>
        <v>-30</v>
      </c>
      <c r="K7" s="15">
        <v>46</v>
      </c>
      <c r="L7" s="17">
        <v>1.3083247726348828</v>
      </c>
      <c r="M7" s="17"/>
      <c r="P7" s="15"/>
      <c r="Q7" s="16"/>
      <c r="R7" s="17"/>
    </row>
    <row r="8" spans="1:18" ht="13.5" customHeight="1">
      <c r="A8" s="14" t="s">
        <v>9</v>
      </c>
      <c r="B8" s="15">
        <v>60</v>
      </c>
      <c r="C8" s="16" t="s">
        <v>10</v>
      </c>
      <c r="D8" s="17">
        <v>1.93</v>
      </c>
      <c r="E8" s="18">
        <f>SINK2/KNOTS_PER_FPM</f>
        <v>195.44963543073183</v>
      </c>
      <c r="F8" s="19">
        <f>B8/D8</f>
        <v>31.088082901554404</v>
      </c>
      <c r="G8" s="18"/>
      <c r="H8" s="13" t="s">
        <v>11</v>
      </c>
      <c r="I8" s="1">
        <f>((VEL2-VEL3)*(SINK1-SINK3))+((VEL3-VEL1)*(SINK2-SINK3))</f>
        <v>-25.78</v>
      </c>
      <c r="K8" s="15">
        <v>60</v>
      </c>
      <c r="L8" s="17">
        <v>1.9264437171018791</v>
      </c>
      <c r="M8" s="17"/>
      <c r="P8" s="15"/>
      <c r="Q8" s="16"/>
      <c r="R8" s="17"/>
    </row>
    <row r="9" spans="1:18" ht="13.5" customHeight="1">
      <c r="A9" s="14" t="s">
        <v>12</v>
      </c>
      <c r="B9" s="15">
        <v>90</v>
      </c>
      <c r="C9" s="16" t="s">
        <v>13</v>
      </c>
      <c r="D9" s="17">
        <v>5.1</v>
      </c>
      <c r="E9" s="18">
        <f>SINK3/KNOTS_PER_FPM</f>
        <v>516.4731298946799</v>
      </c>
      <c r="F9" s="19">
        <f>B9/D9</f>
        <v>17.647058823529413</v>
      </c>
      <c r="G9" s="18"/>
      <c r="H9" s="13" t="s">
        <v>14</v>
      </c>
      <c r="I9" s="1">
        <f>SINK2-SINK3-(polar_a*((VEL2*VEL2)-(VEL3*VEL3)))</f>
        <v>3.1075974025974027</v>
      </c>
      <c r="K9" s="15">
        <v>90</v>
      </c>
      <c r="L9" s="17">
        <v>5.099902232951535</v>
      </c>
      <c r="M9" s="17"/>
      <c r="P9" s="15"/>
      <c r="Q9" s="16"/>
      <c r="R9" s="17"/>
    </row>
    <row r="10" spans="1:14" ht="13.5" customHeight="1">
      <c r="A10" s="21"/>
      <c r="B10" s="22"/>
      <c r="C10" s="22"/>
      <c r="D10" s="18"/>
      <c r="H10" s="13"/>
      <c r="N10" s="20"/>
    </row>
    <row r="11" spans="1:9" ht="13.5" customHeight="1">
      <c r="A11" s="23" t="s">
        <v>15</v>
      </c>
      <c r="B11" s="6">
        <f>SQRT(polar_c/polar_a)</f>
        <v>47.315523115526126</v>
      </c>
      <c r="C11" s="6"/>
      <c r="D11" s="6">
        <f>polar_b*B11+2*polar_c</f>
        <v>1.3449805416888863</v>
      </c>
      <c r="E11" s="18">
        <f>D11/KNOTS_PER_FPM</f>
        <v>136.2051588261767</v>
      </c>
      <c r="F11" s="6">
        <f>B11/D11</f>
        <v>35.179336539777914</v>
      </c>
      <c r="G11" s="6"/>
      <c r="H11" s="13" t="s">
        <v>16</v>
      </c>
      <c r="I11" s="1">
        <f>term1/term2</f>
        <v>0.001395021645021645</v>
      </c>
    </row>
    <row r="12" spans="1:9" ht="13.5" customHeight="1">
      <c r="A12" s="23" t="s">
        <v>52</v>
      </c>
      <c r="B12" s="2">
        <f>polar_b/(-2*polar_a)</f>
        <v>37.12723041117145</v>
      </c>
      <c r="C12" s="2" t="s">
        <v>49</v>
      </c>
      <c r="D12" s="2"/>
      <c r="E12" s="18"/>
      <c r="H12" s="13" t="s">
        <v>17</v>
      </c>
      <c r="I12" s="1">
        <f>term3/term4</f>
        <v>-0.10358658008658009</v>
      </c>
    </row>
    <row r="13" spans="1:9" ht="13.5" customHeight="1">
      <c r="A13" s="23"/>
      <c r="H13" s="13" t="s">
        <v>18</v>
      </c>
      <c r="I13" s="1">
        <f>SINK3-(polar_a*(VEL3*VEL3))-(polar_b*VEL3)</f>
        <v>3.1231168831168823</v>
      </c>
    </row>
    <row r="14" spans="1:10" ht="13.5" customHeight="1">
      <c r="A14" s="23" t="s">
        <v>19</v>
      </c>
      <c r="B14" s="1">
        <v>40</v>
      </c>
      <c r="D14" s="24">
        <f>(polar_a*B14*B14+polar_b*B14+polar_c)</f>
        <v>1.2116883116883113</v>
      </c>
      <c r="J14" s="13"/>
    </row>
    <row r="15" spans="1:10" ht="13.5" customHeight="1">
      <c r="A15" s="23"/>
      <c r="B15" s="1">
        <v>60</v>
      </c>
      <c r="D15" s="24">
        <f>(polar_a*B15*B15+polar_b*B15+polar_c)</f>
        <v>1.9299999999999997</v>
      </c>
      <c r="J15" s="13"/>
    </row>
    <row r="16" spans="1:10" ht="13.5" customHeight="1">
      <c r="A16" s="23"/>
      <c r="B16" s="1">
        <v>80</v>
      </c>
      <c r="D16" s="24">
        <f>(polar_a*B16*B16+polar_b*B16+polar_c)</f>
        <v>3.7643290043290047</v>
      </c>
      <c r="J16" s="13"/>
    </row>
    <row r="18" spans="1:17" ht="12.75">
      <c r="A18" s="5" t="s">
        <v>20</v>
      </c>
      <c r="H18" s="2"/>
      <c r="I18" s="3"/>
      <c r="L18"/>
      <c r="M18"/>
      <c r="N18"/>
      <c r="O18"/>
      <c r="P18"/>
      <c r="Q18"/>
    </row>
    <row r="19" spans="1:17" ht="12.75">
      <c r="A19" s="25" t="s">
        <v>21</v>
      </c>
      <c r="B19" s="25" t="s">
        <v>22</v>
      </c>
      <c r="D19" s="26" t="s">
        <v>23</v>
      </c>
      <c r="E19" s="26" t="s">
        <v>24</v>
      </c>
      <c r="F19" s="27" t="s">
        <v>25</v>
      </c>
      <c r="H19" s="28" t="s">
        <v>26</v>
      </c>
      <c r="I19" s="29" t="s">
        <v>27</v>
      </c>
      <c r="J19" s="29" t="s">
        <v>28</v>
      </c>
      <c r="K19" s="13" t="s">
        <v>29</v>
      </c>
      <c r="L19" s="30" t="s">
        <v>30</v>
      </c>
      <c r="M19"/>
      <c r="N19"/>
      <c r="O19"/>
      <c r="P19"/>
      <c r="Q19"/>
    </row>
    <row r="20" spans="1:17" ht="12.75">
      <c r="A20" s="13" t="s">
        <v>31</v>
      </c>
      <c r="B20" s="13" t="s">
        <v>32</v>
      </c>
      <c r="D20" s="31" t="s">
        <v>33</v>
      </c>
      <c r="E20" s="31" t="s">
        <v>34</v>
      </c>
      <c r="F20" s="32" t="s">
        <v>34</v>
      </c>
      <c r="H20" s="28" t="s">
        <v>34</v>
      </c>
      <c r="I20" s="3"/>
      <c r="J20" s="3"/>
      <c r="K20" s="13" t="s">
        <v>35</v>
      </c>
      <c r="L20" s="2"/>
      <c r="M20"/>
      <c r="N20"/>
      <c r="O20"/>
      <c r="P20"/>
      <c r="Q20"/>
    </row>
    <row r="21" spans="1:17" ht="12.75">
      <c r="A21" s="33">
        <v>70</v>
      </c>
      <c r="B21" s="9">
        <v>-0.64</v>
      </c>
      <c r="C21" s="33"/>
      <c r="D21" s="34">
        <f aca="true" t="shared" si="0" ref="D21:D49">A21*KNOTS_PER_KPH</f>
        <v>37.772</v>
      </c>
      <c r="E21" s="35">
        <f aca="true" t="shared" si="1" ref="E21:E49">B21*KNOTS_PER_MPS</f>
        <v>-1.24406048</v>
      </c>
      <c r="F21" s="36">
        <f aca="true" t="shared" si="2" ref="F21:F49">-(polar_a*D21*D21+polar_b*D21+polar_c)</f>
        <v>-1.2007554192380945</v>
      </c>
      <c r="G21" s="37"/>
      <c r="H21" s="38">
        <f aca="true" t="shared" si="3" ref="H21:H49">IF(E21=0," ",F21-E21)</f>
        <v>0.043305060761905434</v>
      </c>
      <c r="I21" s="3">
        <f aca="true" t="shared" si="4" ref="I21:I49">IF(E21,-D21/E21," ")</f>
        <v>30.361867937481627</v>
      </c>
      <c r="J21" s="3">
        <f aca="true" t="shared" si="5" ref="J21:J49">-D21/F21</f>
        <v>31.456864066428412</v>
      </c>
      <c r="K21" s="18">
        <f aca="true" t="shared" si="6" ref="K21:K49">E21/KNOTS_PER_FPM</f>
        <v>-125.98506076154467</v>
      </c>
      <c r="L21" s="39">
        <f aca="true" t="shared" si="7" ref="L21:L49">IF(E21=0,0,F21-E21)^2</f>
        <v>0.0018753282875923216</v>
      </c>
      <c r="M21"/>
      <c r="N21"/>
      <c r="O21"/>
      <c r="P21"/>
      <c r="Q21"/>
    </row>
    <row r="22" spans="1:17" ht="12.75">
      <c r="A22" s="33">
        <v>75</v>
      </c>
      <c r="B22" s="9"/>
      <c r="C22" s="33"/>
      <c r="D22" s="34">
        <f>A22*KNOTS_PER_KPH</f>
        <v>40.47</v>
      </c>
      <c r="E22" s="35">
        <f>B22*KNOTS_PER_MPS</f>
        <v>0</v>
      </c>
      <c r="F22" s="36">
        <f>-(polar_a*D22*D22+polar_b*D22+polar_c)</f>
        <v>-1.215763593181817</v>
      </c>
      <c r="G22" s="37"/>
      <c r="H22" s="38" t="str">
        <f>IF(E22=0," ",F22-E22)</f>
        <v> </v>
      </c>
      <c r="I22" s="3" t="str">
        <f>IF(E22,-D22/E22," ")</f>
        <v> </v>
      </c>
      <c r="J22" s="3">
        <f>-D22/F22</f>
        <v>33.287721582519644</v>
      </c>
      <c r="K22" s="18">
        <f>E22/KNOTS_PER_FPM</f>
        <v>0</v>
      </c>
      <c r="L22" s="39">
        <f>IF(E22=0,0,F22-E22)^2</f>
        <v>0</v>
      </c>
      <c r="M22"/>
      <c r="N22"/>
      <c r="O22"/>
      <c r="P22"/>
      <c r="Q22"/>
    </row>
    <row r="23" spans="1:17" ht="12.75">
      <c r="A23" s="33">
        <v>80</v>
      </c>
      <c r="B23" s="9">
        <v>-0.64</v>
      </c>
      <c r="C23" s="33"/>
      <c r="D23" s="34">
        <f t="shared" si="0"/>
        <v>43.168</v>
      </c>
      <c r="E23" s="35">
        <f t="shared" si="1"/>
        <v>-1.24406048</v>
      </c>
      <c r="F23" s="36">
        <f t="shared" si="2"/>
        <v>-1.2510810614025965</v>
      </c>
      <c r="G23" s="37"/>
      <c r="H23" s="38">
        <f t="shared" si="3"/>
        <v>-0.007020581402596537</v>
      </c>
      <c r="I23" s="3">
        <f t="shared" si="4"/>
        <v>34.699277642836144</v>
      </c>
      <c r="J23" s="3">
        <f t="shared" si="5"/>
        <v>34.50455876264647</v>
      </c>
      <c r="K23" s="18">
        <f t="shared" si="6"/>
        <v>-125.98506076154467</v>
      </c>
      <c r="L23" s="39">
        <f>IF(E23=0,0,3*(F23-E23))^2</f>
        <v>0.0004435970690743593</v>
      </c>
      <c r="M23" t="s">
        <v>53</v>
      </c>
      <c r="N23"/>
      <c r="O23"/>
      <c r="P23"/>
      <c r="Q23"/>
    </row>
    <row r="24" spans="1:17" ht="12.75">
      <c r="A24" s="33">
        <v>85</v>
      </c>
      <c r="B24" s="9"/>
      <c r="C24" s="33"/>
      <c r="D24" s="34">
        <f t="shared" si="0"/>
        <v>45.866</v>
      </c>
      <c r="E24" s="35">
        <f t="shared" si="1"/>
        <v>0</v>
      </c>
      <c r="F24" s="36">
        <f t="shared" si="2"/>
        <v>-1.3067078239004326</v>
      </c>
      <c r="G24" s="37"/>
      <c r="H24" s="38" t="str">
        <f t="shared" si="3"/>
        <v> </v>
      </c>
      <c r="I24" s="3" t="str">
        <f t="shared" si="4"/>
        <v> </v>
      </c>
      <c r="J24" s="3">
        <f t="shared" si="5"/>
        <v>35.100425023164824</v>
      </c>
      <c r="K24" s="18">
        <f t="shared" si="6"/>
        <v>0</v>
      </c>
      <c r="L24" s="39">
        <f t="shared" si="7"/>
        <v>0</v>
      </c>
      <c r="M24"/>
      <c r="N24"/>
      <c r="O24"/>
      <c r="P24"/>
      <c r="Q24"/>
    </row>
    <row r="25" spans="1:17" ht="12.75">
      <c r="A25" s="33">
        <v>90</v>
      </c>
      <c r="B25" s="9">
        <v>-0.7</v>
      </c>
      <c r="C25" s="33"/>
      <c r="D25" s="34">
        <f t="shared" si="0"/>
        <v>48.564</v>
      </c>
      <c r="E25" s="35">
        <f t="shared" si="1"/>
        <v>-1.3606911499999998</v>
      </c>
      <c r="F25" s="36">
        <f t="shared" si="2"/>
        <v>-1.3826438806753236</v>
      </c>
      <c r="G25" s="37"/>
      <c r="H25" s="38">
        <f t="shared" si="3"/>
        <v>-0.021952730675323773</v>
      </c>
      <c r="I25" s="3">
        <f t="shared" si="4"/>
        <v>35.69068557548861</v>
      </c>
      <c r="J25" s="3">
        <f t="shared" si="5"/>
        <v>35.12401181443766</v>
      </c>
      <c r="K25" s="18">
        <f t="shared" si="6"/>
        <v>-137.7961602079395</v>
      </c>
      <c r="L25" s="39">
        <f t="shared" si="7"/>
        <v>0.00048192238410330133</v>
      </c>
      <c r="M25"/>
      <c r="N25"/>
      <c r="O25"/>
      <c r="P25"/>
      <c r="Q25"/>
    </row>
    <row r="26" spans="1:17" ht="12.75">
      <c r="A26" s="33">
        <v>95</v>
      </c>
      <c r="B26" s="9"/>
      <c r="C26" s="33"/>
      <c r="D26" s="34">
        <f t="shared" si="0"/>
        <v>51.262</v>
      </c>
      <c r="E26" s="35">
        <f t="shared" si="1"/>
        <v>0</v>
      </c>
      <c r="F26" s="36">
        <f t="shared" si="2"/>
        <v>-1.4788892317272722</v>
      </c>
      <c r="G26" s="37"/>
      <c r="H26" s="38" t="str">
        <f t="shared" si="3"/>
        <v> </v>
      </c>
      <c r="I26" s="3" t="str">
        <f t="shared" si="4"/>
        <v> </v>
      </c>
      <c r="J26" s="3">
        <f t="shared" si="5"/>
        <v>34.66250135591861</v>
      </c>
      <c r="K26" s="18">
        <f t="shared" si="6"/>
        <v>0</v>
      </c>
      <c r="L26" s="39">
        <f t="shared" si="7"/>
        <v>0</v>
      </c>
      <c r="M26"/>
      <c r="N26"/>
      <c r="O26"/>
      <c r="P26"/>
      <c r="Q26"/>
    </row>
    <row r="27" spans="1:17" ht="12.75">
      <c r="A27" s="33">
        <v>100</v>
      </c>
      <c r="B27" s="9"/>
      <c r="C27" s="33"/>
      <c r="D27" s="34">
        <f t="shared" si="0"/>
        <v>53.959999999999994</v>
      </c>
      <c r="E27" s="35">
        <f t="shared" si="1"/>
        <v>0</v>
      </c>
      <c r="F27" s="36">
        <f t="shared" si="2"/>
        <v>-1.595443877056276</v>
      </c>
      <c r="H27" s="38" t="str">
        <f t="shared" si="3"/>
        <v> </v>
      </c>
      <c r="I27" s="3" t="str">
        <f t="shared" si="4"/>
        <v> </v>
      </c>
      <c r="J27" s="3">
        <f t="shared" si="5"/>
        <v>33.82130877556194</v>
      </c>
      <c r="K27" s="18">
        <f t="shared" si="6"/>
        <v>0</v>
      </c>
      <c r="L27" s="39">
        <f t="shared" si="7"/>
        <v>0</v>
      </c>
      <c r="M27"/>
      <c r="N27"/>
      <c r="O27"/>
      <c r="P27"/>
      <c r="Q27"/>
    </row>
    <row r="28" spans="1:17" ht="12.75">
      <c r="A28" s="33">
        <v>105</v>
      </c>
      <c r="B28" s="9"/>
      <c r="C28" s="33"/>
      <c r="D28" s="34">
        <f t="shared" si="0"/>
        <v>56.657999999999994</v>
      </c>
      <c r="E28" s="35">
        <f t="shared" si="1"/>
        <v>0</v>
      </c>
      <c r="F28" s="36">
        <f t="shared" si="2"/>
        <v>-1.7323078166623365</v>
      </c>
      <c r="H28" s="38" t="str">
        <f t="shared" si="3"/>
        <v> </v>
      </c>
      <c r="I28" s="3" t="str">
        <f t="shared" si="4"/>
        <v> </v>
      </c>
      <c r="J28" s="3">
        <f t="shared" si="5"/>
        <v>32.706658398138394</v>
      </c>
      <c r="K28" s="18">
        <f t="shared" si="6"/>
        <v>0</v>
      </c>
      <c r="L28" s="39">
        <f t="shared" si="7"/>
        <v>0</v>
      </c>
      <c r="M28"/>
      <c r="N28"/>
      <c r="O28"/>
      <c r="P28"/>
      <c r="Q28"/>
    </row>
    <row r="29" spans="1:17" ht="12.75">
      <c r="A29" s="33">
        <v>110</v>
      </c>
      <c r="B29" s="9">
        <v>-0.99</v>
      </c>
      <c r="C29" s="33"/>
      <c r="D29" s="34">
        <f t="shared" si="0"/>
        <v>59.355999999999995</v>
      </c>
      <c r="E29" s="35">
        <f t="shared" si="1"/>
        <v>-1.924406055</v>
      </c>
      <c r="F29" s="36">
        <f t="shared" si="2"/>
        <v>-1.8894810505454531</v>
      </c>
      <c r="H29" s="38">
        <f t="shared" si="3"/>
        <v>0.034925004454546826</v>
      </c>
      <c r="I29" s="3">
        <f t="shared" si="4"/>
        <v>30.84380234918768</v>
      </c>
      <c r="J29" s="3">
        <f t="shared" si="5"/>
        <v>31.41391652637383</v>
      </c>
      <c r="K29" s="18">
        <f t="shared" si="6"/>
        <v>-194.88314086551443</v>
      </c>
      <c r="L29" s="39">
        <f t="shared" si="7"/>
        <v>0.0012197559361501156</v>
      </c>
      <c r="M29"/>
      <c r="N29"/>
      <c r="O29"/>
      <c r="P29"/>
      <c r="Q29"/>
    </row>
    <row r="30" spans="1:17" ht="12.75">
      <c r="A30" s="33">
        <v>115</v>
      </c>
      <c r="B30" s="9"/>
      <c r="C30" s="33"/>
      <c r="D30" s="34">
        <f t="shared" si="0"/>
        <v>62.053999999999995</v>
      </c>
      <c r="E30" s="35">
        <f t="shared" si="1"/>
        <v>0</v>
      </c>
      <c r="F30" s="36">
        <f t="shared" si="2"/>
        <v>-2.066963578705626</v>
      </c>
      <c r="H30" s="38" t="str">
        <f t="shared" si="3"/>
        <v> </v>
      </c>
      <c r="I30" s="3" t="str">
        <f t="shared" si="4"/>
        <v> </v>
      </c>
      <c r="J30" s="3">
        <f t="shared" si="5"/>
        <v>30.021815884564088</v>
      </c>
      <c r="K30" s="18">
        <f t="shared" si="6"/>
        <v>0</v>
      </c>
      <c r="L30" s="39">
        <f t="shared" si="7"/>
        <v>0</v>
      </c>
      <c r="M30"/>
      <c r="N30"/>
      <c r="O30"/>
      <c r="P30"/>
      <c r="Q30"/>
    </row>
    <row r="31" spans="1:17" ht="12.75">
      <c r="A31" s="33">
        <v>122</v>
      </c>
      <c r="B31" s="9"/>
      <c r="C31" s="33"/>
      <c r="D31" s="34">
        <f t="shared" si="0"/>
        <v>65.8312</v>
      </c>
      <c r="E31" s="35">
        <f t="shared" si="1"/>
        <v>0</v>
      </c>
      <c r="F31" s="36">
        <f t="shared" si="2"/>
        <v>-2.349558732515322</v>
      </c>
      <c r="H31" s="38" t="str">
        <f t="shared" si="3"/>
        <v> </v>
      </c>
      <c r="I31" s="3" t="str">
        <f t="shared" si="4"/>
        <v> </v>
      </c>
      <c r="J31" s="3">
        <f t="shared" si="5"/>
        <v>28.018537731774146</v>
      </c>
      <c r="K31" s="18">
        <f t="shared" si="6"/>
        <v>0</v>
      </c>
      <c r="L31" s="39">
        <f t="shared" si="7"/>
        <v>0</v>
      </c>
      <c r="M31"/>
      <c r="N31"/>
      <c r="O31"/>
      <c r="P31"/>
      <c r="Q31"/>
    </row>
    <row r="32" spans="1:17" ht="12.75">
      <c r="A32" s="33">
        <v>125</v>
      </c>
      <c r="B32" s="9"/>
      <c r="C32" s="33"/>
      <c r="D32" s="34">
        <f t="shared" si="0"/>
        <v>67.45</v>
      </c>
      <c r="E32" s="35">
        <f t="shared" si="1"/>
        <v>0</v>
      </c>
      <c r="F32" s="36">
        <f t="shared" si="2"/>
        <v>-2.482856517857142</v>
      </c>
      <c r="H32" s="38" t="str">
        <f t="shared" si="3"/>
        <v> </v>
      </c>
      <c r="I32" s="3" t="str">
        <f t="shared" si="4"/>
        <v> </v>
      </c>
      <c r="J32" s="3">
        <f t="shared" si="5"/>
        <v>27.166289922469424</v>
      </c>
      <c r="K32" s="18">
        <f t="shared" si="6"/>
        <v>0</v>
      </c>
      <c r="L32" s="39">
        <f t="shared" si="7"/>
        <v>0</v>
      </c>
      <c r="M32"/>
      <c r="N32"/>
      <c r="O32"/>
      <c r="P32"/>
      <c r="Q32"/>
    </row>
    <row r="33" spans="1:17" ht="12.75">
      <c r="A33" s="33">
        <v>130</v>
      </c>
      <c r="B33" s="9"/>
      <c r="C33" s="33"/>
      <c r="D33" s="34">
        <f t="shared" si="0"/>
        <v>70.148</v>
      </c>
      <c r="E33" s="35">
        <f t="shared" si="1"/>
        <v>0</v>
      </c>
      <c r="F33" s="36">
        <f t="shared" si="2"/>
        <v>-2.7212669288484843</v>
      </c>
      <c r="H33" s="38" t="str">
        <f t="shared" si="3"/>
        <v> </v>
      </c>
      <c r="I33" s="3" t="str">
        <f t="shared" si="4"/>
        <v> </v>
      </c>
      <c r="J33" s="3">
        <f t="shared" si="5"/>
        <v>25.777699076982287</v>
      </c>
      <c r="K33" s="18">
        <f t="shared" si="6"/>
        <v>0</v>
      </c>
      <c r="L33" s="39">
        <f t="shared" si="7"/>
        <v>0</v>
      </c>
      <c r="M33"/>
      <c r="N33"/>
      <c r="O33"/>
      <c r="P33"/>
      <c r="Q33"/>
    </row>
    <row r="34" spans="1:17" ht="12.75">
      <c r="A34" s="33">
        <v>137</v>
      </c>
      <c r="B34" s="9"/>
      <c r="C34" s="33"/>
      <c r="D34" s="34">
        <f t="shared" si="0"/>
        <v>73.92519999999999</v>
      </c>
      <c r="E34" s="35">
        <f t="shared" si="1"/>
        <v>0</v>
      </c>
      <c r="F34" s="36">
        <f t="shared" si="2"/>
        <v>-3.089161118621816</v>
      </c>
      <c r="H34" s="38" t="str">
        <f t="shared" si="3"/>
        <v> </v>
      </c>
      <c r="I34" s="3" t="str">
        <f t="shared" si="4"/>
        <v> </v>
      </c>
      <c r="J34" s="3">
        <f t="shared" si="5"/>
        <v>23.930509663083107</v>
      </c>
      <c r="K34" s="18">
        <f t="shared" si="6"/>
        <v>0</v>
      </c>
      <c r="L34" s="39">
        <f t="shared" si="7"/>
        <v>0</v>
      </c>
      <c r="M34"/>
      <c r="N34"/>
      <c r="O34"/>
      <c r="P34"/>
      <c r="Q34"/>
    </row>
    <row r="35" spans="1:17" ht="12.75">
      <c r="A35" s="33">
        <v>140</v>
      </c>
      <c r="B35" s="9"/>
      <c r="C35" s="33"/>
      <c r="D35" s="34">
        <f t="shared" si="0"/>
        <v>75.544</v>
      </c>
      <c r="E35" s="35">
        <f t="shared" si="1"/>
        <v>0</v>
      </c>
      <c r="F35" s="36">
        <f t="shared" si="2"/>
        <v>-3.2590156336623366</v>
      </c>
      <c r="H35" s="38" t="str">
        <f t="shared" si="3"/>
        <v> </v>
      </c>
      <c r="I35" s="3" t="str">
        <f t="shared" si="4"/>
        <v> </v>
      </c>
      <c r="J35" s="3">
        <f t="shared" si="5"/>
        <v>23.180005403995875</v>
      </c>
      <c r="K35" s="18">
        <f t="shared" si="6"/>
        <v>0</v>
      </c>
      <c r="L35" s="39">
        <f t="shared" si="7"/>
        <v>0</v>
      </c>
      <c r="M35"/>
      <c r="N35"/>
      <c r="O35"/>
      <c r="P35"/>
      <c r="Q35"/>
    </row>
    <row r="36" spans="1:17" ht="12.75">
      <c r="A36" s="33">
        <v>145</v>
      </c>
      <c r="B36" s="9"/>
      <c r="C36" s="33"/>
      <c r="D36" s="34">
        <f t="shared" si="0"/>
        <v>78.24199999999999</v>
      </c>
      <c r="E36" s="35">
        <f t="shared" si="1"/>
        <v>0</v>
      </c>
      <c r="F36" s="36">
        <f t="shared" si="2"/>
        <v>-3.5583539274848466</v>
      </c>
      <c r="H36" s="38" t="str">
        <f t="shared" si="3"/>
        <v> </v>
      </c>
      <c r="I36" s="3" t="str">
        <f t="shared" si="4"/>
        <v> </v>
      </c>
      <c r="J36" s="3">
        <f t="shared" si="5"/>
        <v>21.98825681606771</v>
      </c>
      <c r="K36" s="18">
        <f t="shared" si="6"/>
        <v>0</v>
      </c>
      <c r="L36" s="39">
        <f t="shared" si="7"/>
        <v>0</v>
      </c>
      <c r="M36"/>
      <c r="N36"/>
      <c r="O36"/>
      <c r="P36"/>
      <c r="Q36"/>
    </row>
    <row r="37" spans="1:17" ht="12.75">
      <c r="A37" s="33">
        <v>150</v>
      </c>
      <c r="B37" s="9">
        <v>-1.99</v>
      </c>
      <c r="C37" s="33"/>
      <c r="D37" s="34">
        <f t="shared" si="0"/>
        <v>80.94</v>
      </c>
      <c r="E37" s="35">
        <f t="shared" si="1"/>
        <v>-3.868250555</v>
      </c>
      <c r="F37" s="36">
        <f t="shared" si="2"/>
        <v>-3.8780015155844136</v>
      </c>
      <c r="H37" s="38">
        <f t="shared" si="3"/>
        <v>-0.009750960584413715</v>
      </c>
      <c r="I37" s="3">
        <f t="shared" si="4"/>
        <v>20.924187523318277</v>
      </c>
      <c r="J37" s="3">
        <f t="shared" si="5"/>
        <v>20.87157513341053</v>
      </c>
      <c r="K37" s="18">
        <f t="shared" si="6"/>
        <v>-391.734798305428</v>
      </c>
      <c r="L37" s="39">
        <f t="shared" si="7"/>
        <v>9.508123231878985E-05</v>
      </c>
      <c r="M37"/>
      <c r="N37"/>
      <c r="O37"/>
      <c r="P37"/>
      <c r="Q37"/>
    </row>
    <row r="38" spans="1:17" ht="12.75">
      <c r="A38" s="33">
        <v>155</v>
      </c>
      <c r="B38" s="9"/>
      <c r="C38" s="33"/>
      <c r="D38" s="34">
        <f t="shared" si="0"/>
        <v>83.63799999999999</v>
      </c>
      <c r="E38" s="35">
        <f t="shared" si="1"/>
        <v>0</v>
      </c>
      <c r="F38" s="36">
        <f t="shared" si="2"/>
        <v>-4.217958397961038</v>
      </c>
      <c r="H38" s="38" t="str">
        <f t="shared" si="3"/>
        <v> </v>
      </c>
      <c r="I38" s="3" t="str">
        <f t="shared" si="4"/>
        <v> </v>
      </c>
      <c r="J38" s="3">
        <f t="shared" si="5"/>
        <v>19.829024402049725</v>
      </c>
      <c r="K38" s="18">
        <f t="shared" si="6"/>
        <v>0</v>
      </c>
      <c r="L38" s="39">
        <f t="shared" si="7"/>
        <v>0</v>
      </c>
      <c r="M38"/>
      <c r="N38"/>
      <c r="O38"/>
      <c r="P38"/>
      <c r="Q38"/>
    </row>
    <row r="39" spans="1:17" ht="12.75">
      <c r="A39" s="33">
        <v>160</v>
      </c>
      <c r="B39" s="33"/>
      <c r="C39" s="33"/>
      <c r="D39" s="34">
        <f t="shared" si="0"/>
        <v>86.336</v>
      </c>
      <c r="E39" s="35">
        <f t="shared" si="1"/>
        <v>0</v>
      </c>
      <c r="F39" s="36">
        <f t="shared" si="2"/>
        <v>-4.578224574614717</v>
      </c>
      <c r="H39" s="38" t="str">
        <f t="shared" si="3"/>
        <v> </v>
      </c>
      <c r="I39" s="3" t="str">
        <f t="shared" si="4"/>
        <v> </v>
      </c>
      <c r="J39" s="3">
        <f t="shared" si="5"/>
        <v>18.857965264245617</v>
      </c>
      <c r="K39" s="18">
        <f t="shared" si="6"/>
        <v>0</v>
      </c>
      <c r="L39" s="39">
        <f t="shared" si="7"/>
        <v>0</v>
      </c>
      <c r="M39"/>
      <c r="N39"/>
      <c r="O39"/>
      <c r="P39"/>
      <c r="Q39"/>
    </row>
    <row r="40" spans="1:17" ht="12.75">
      <c r="A40" s="33">
        <v>167</v>
      </c>
      <c r="B40" s="33"/>
      <c r="C40" s="33"/>
      <c r="D40" s="34">
        <f t="shared" si="0"/>
        <v>90.11319999999999</v>
      </c>
      <c r="E40" s="35">
        <f t="shared" si="1"/>
        <v>0</v>
      </c>
      <c r="F40" s="36">
        <f t="shared" si="2"/>
        <v>-5.116716836315323</v>
      </c>
      <c r="H40" s="38" t="str">
        <f t="shared" si="3"/>
        <v> </v>
      </c>
      <c r="I40" s="3" t="str">
        <f t="shared" si="4"/>
        <v> </v>
      </c>
      <c r="J40" s="3">
        <f t="shared" si="5"/>
        <v>17.611527642184864</v>
      </c>
      <c r="K40" s="18">
        <f t="shared" si="6"/>
        <v>0</v>
      </c>
      <c r="L40" s="39">
        <f t="shared" si="7"/>
        <v>0</v>
      </c>
      <c r="M40"/>
      <c r="N40"/>
      <c r="O40"/>
      <c r="P40"/>
      <c r="Q40"/>
    </row>
    <row r="41" spans="1:17" ht="12.75">
      <c r="A41" s="33">
        <v>170</v>
      </c>
      <c r="B41" s="33"/>
      <c r="C41" s="33"/>
      <c r="D41" s="34">
        <f t="shared" si="0"/>
        <v>91.732</v>
      </c>
      <c r="E41" s="35">
        <f t="shared" si="1"/>
        <v>0</v>
      </c>
      <c r="F41" s="36">
        <f t="shared" si="2"/>
        <v>-5.359684810753247</v>
      </c>
      <c r="H41" s="38" t="str">
        <f t="shared" si="3"/>
        <v> </v>
      </c>
      <c r="I41" s="3" t="str">
        <f t="shared" si="4"/>
        <v> </v>
      </c>
      <c r="J41" s="3">
        <f t="shared" si="5"/>
        <v>17.11518554523135</v>
      </c>
      <c r="K41" s="18">
        <f t="shared" si="6"/>
        <v>0</v>
      </c>
      <c r="L41" s="39">
        <f t="shared" si="7"/>
        <v>0</v>
      </c>
      <c r="M41"/>
      <c r="N41"/>
      <c r="O41"/>
      <c r="P41"/>
      <c r="Q41"/>
    </row>
    <row r="42" spans="1:17" ht="12.75">
      <c r="A42" s="33">
        <v>175</v>
      </c>
      <c r="B42" s="33"/>
      <c r="C42" s="33"/>
      <c r="D42" s="34">
        <f t="shared" si="0"/>
        <v>94.42999999999999</v>
      </c>
      <c r="E42" s="35">
        <f t="shared" si="1"/>
        <v>0</v>
      </c>
      <c r="F42" s="36">
        <f t="shared" si="2"/>
        <v>-5.780878870238094</v>
      </c>
      <c r="H42" s="38" t="str">
        <f t="shared" si="3"/>
        <v> </v>
      </c>
      <c r="I42" s="3" t="str">
        <f t="shared" si="4"/>
        <v> </v>
      </c>
      <c r="J42" s="3">
        <f t="shared" si="5"/>
        <v>16.334886462706795</v>
      </c>
      <c r="K42" s="18">
        <f t="shared" si="6"/>
        <v>0</v>
      </c>
      <c r="L42" s="39">
        <f t="shared" si="7"/>
        <v>0</v>
      </c>
      <c r="M42"/>
      <c r="N42"/>
      <c r="O42"/>
      <c r="P42"/>
      <c r="Q42"/>
    </row>
    <row r="43" spans="1:17" ht="12.75">
      <c r="A43" s="33">
        <v>180</v>
      </c>
      <c r="B43" s="33"/>
      <c r="C43" s="33"/>
      <c r="D43" s="34">
        <f t="shared" si="0"/>
        <v>97.128</v>
      </c>
      <c r="E43" s="35">
        <f t="shared" si="1"/>
        <v>0</v>
      </c>
      <c r="F43" s="36">
        <f t="shared" si="2"/>
        <v>-6.222382223999999</v>
      </c>
      <c r="H43" s="38" t="str">
        <f t="shared" si="3"/>
        <v> </v>
      </c>
      <c r="I43" s="3" t="str">
        <f t="shared" si="4"/>
        <v> </v>
      </c>
      <c r="J43" s="3">
        <f t="shared" si="5"/>
        <v>15.60945575239224</v>
      </c>
      <c r="K43" s="18">
        <f t="shared" si="6"/>
        <v>0</v>
      </c>
      <c r="L43" s="39">
        <f t="shared" si="7"/>
        <v>0</v>
      </c>
      <c r="M43"/>
      <c r="N43"/>
      <c r="O43"/>
      <c r="P43"/>
      <c r="Q43"/>
    </row>
    <row r="44" spans="1:17" ht="12.75">
      <c r="A44" s="33">
        <v>185</v>
      </c>
      <c r="B44" s="33"/>
      <c r="C44" s="33"/>
      <c r="D44" s="34">
        <f t="shared" si="0"/>
        <v>99.826</v>
      </c>
      <c r="E44" s="35">
        <f t="shared" si="1"/>
        <v>0</v>
      </c>
      <c r="F44" s="36">
        <f t="shared" si="2"/>
        <v>-6.684194872038958</v>
      </c>
      <c r="H44" s="38" t="str">
        <f t="shared" si="3"/>
        <v> </v>
      </c>
      <c r="I44" s="3" t="str">
        <f t="shared" si="4"/>
        <v> </v>
      </c>
      <c r="J44" s="3">
        <f t="shared" si="5"/>
        <v>14.93463340178604</v>
      </c>
      <c r="K44" s="18">
        <f t="shared" si="6"/>
        <v>0</v>
      </c>
      <c r="L44" s="39">
        <f t="shared" si="7"/>
        <v>0</v>
      </c>
      <c r="M44"/>
      <c r="N44"/>
      <c r="O44"/>
      <c r="P44"/>
      <c r="Q44"/>
    </row>
    <row r="45" spans="1:17" ht="12.75">
      <c r="A45" s="33">
        <v>190</v>
      </c>
      <c r="B45" s="33"/>
      <c r="C45" s="33"/>
      <c r="D45" s="34">
        <f t="shared" si="0"/>
        <v>102.524</v>
      </c>
      <c r="E45" s="35">
        <f t="shared" si="1"/>
        <v>0</v>
      </c>
      <c r="F45" s="36">
        <f t="shared" si="2"/>
        <v>-7.166316814354978</v>
      </c>
      <c r="H45" s="38" t="str">
        <f t="shared" si="3"/>
        <v> </v>
      </c>
      <c r="I45" s="3" t="str">
        <f t="shared" si="4"/>
        <v> </v>
      </c>
      <c r="J45" s="3">
        <f t="shared" si="5"/>
        <v>14.30637280710676</v>
      </c>
      <c r="K45" s="18">
        <f t="shared" si="6"/>
        <v>0</v>
      </c>
      <c r="L45" s="39">
        <f t="shared" si="7"/>
        <v>0</v>
      </c>
      <c r="M45"/>
      <c r="N45"/>
      <c r="O45"/>
      <c r="P45"/>
      <c r="Q45"/>
    </row>
    <row r="46" spans="1:17" ht="12.75">
      <c r="A46" s="33">
        <v>195</v>
      </c>
      <c r="B46" s="33"/>
      <c r="C46" s="33"/>
      <c r="D46" s="34">
        <f t="shared" si="0"/>
        <v>105.222</v>
      </c>
      <c r="E46" s="35">
        <f t="shared" si="1"/>
        <v>0</v>
      </c>
      <c r="F46" s="36">
        <f t="shared" si="2"/>
        <v>-7.66874805094805</v>
      </c>
      <c r="H46" s="38" t="str">
        <f t="shared" si="3"/>
        <v> </v>
      </c>
      <c r="I46" s="3" t="str">
        <f t="shared" si="4"/>
        <v> </v>
      </c>
      <c r="J46" s="3">
        <f t="shared" si="5"/>
        <v>13.720883682831634</v>
      </c>
      <c r="K46" s="18">
        <f t="shared" si="6"/>
        <v>0</v>
      </c>
      <c r="L46" s="39">
        <f t="shared" si="7"/>
        <v>0</v>
      </c>
      <c r="M46"/>
      <c r="N46"/>
      <c r="O46"/>
      <c r="P46"/>
      <c r="Q46"/>
    </row>
    <row r="47" spans="1:17" ht="12.75">
      <c r="A47" s="33">
        <v>200</v>
      </c>
      <c r="B47" s="33"/>
      <c r="C47" s="33"/>
      <c r="D47" s="34">
        <f t="shared" si="0"/>
        <v>107.91999999999999</v>
      </c>
      <c r="E47" s="35">
        <f t="shared" si="1"/>
        <v>0</v>
      </c>
      <c r="F47" s="36">
        <f t="shared" si="2"/>
        <v>-8.191488581818179</v>
      </c>
      <c r="H47" s="38" t="str">
        <f t="shared" si="3"/>
        <v> </v>
      </c>
      <c r="I47" s="3" t="str">
        <f t="shared" si="4"/>
        <v> </v>
      </c>
      <c r="J47" s="3">
        <f t="shared" si="5"/>
        <v>13.174650604963196</v>
      </c>
      <c r="K47" s="18">
        <f t="shared" si="6"/>
        <v>0</v>
      </c>
      <c r="L47" s="39">
        <f t="shared" si="7"/>
        <v>0</v>
      </c>
      <c r="M47"/>
      <c r="N47"/>
      <c r="O47"/>
      <c r="P47"/>
      <c r="Q47"/>
    </row>
    <row r="48" spans="1:17" ht="12.75">
      <c r="A48" s="33">
        <v>205</v>
      </c>
      <c r="B48" s="33"/>
      <c r="C48" s="33"/>
      <c r="D48" s="34">
        <f t="shared" si="0"/>
        <v>110.618</v>
      </c>
      <c r="E48" s="35">
        <f t="shared" si="1"/>
        <v>0</v>
      </c>
      <c r="F48" s="36">
        <f t="shared" si="2"/>
        <v>-8.734538406965363</v>
      </c>
      <c r="H48" s="38" t="str">
        <f t="shared" si="3"/>
        <v> </v>
      </c>
      <c r="I48" s="3" t="str">
        <f t="shared" si="4"/>
        <v> </v>
      </c>
      <c r="J48" s="3">
        <f t="shared" si="5"/>
        <v>12.664435697230159</v>
      </c>
      <c r="K48" s="18">
        <f t="shared" si="6"/>
        <v>0</v>
      </c>
      <c r="L48" s="39">
        <f t="shared" si="7"/>
        <v>0</v>
      </c>
      <c r="M48"/>
      <c r="N48"/>
      <c r="O48"/>
      <c r="P48"/>
      <c r="Q48"/>
    </row>
    <row r="49" spans="1:17" ht="12.75">
      <c r="A49" s="33">
        <v>210</v>
      </c>
      <c r="B49" s="33"/>
      <c r="C49" s="33"/>
      <c r="D49" s="34">
        <f t="shared" si="0"/>
        <v>113.31599999999999</v>
      </c>
      <c r="E49" s="35">
        <f t="shared" si="1"/>
        <v>0</v>
      </c>
      <c r="F49" s="36">
        <f t="shared" si="2"/>
        <v>-9.297897526389606</v>
      </c>
      <c r="H49" s="38" t="str">
        <f t="shared" si="3"/>
        <v> </v>
      </c>
      <c r="I49" s="3" t="str">
        <f t="shared" si="4"/>
        <v> </v>
      </c>
      <c r="J49" s="3">
        <f t="shared" si="5"/>
        <v>12.187271335092982</v>
      </c>
      <c r="K49" s="18">
        <f t="shared" si="6"/>
        <v>0</v>
      </c>
      <c r="L49" s="39">
        <f t="shared" si="7"/>
        <v>0</v>
      </c>
      <c r="M49"/>
      <c r="N49"/>
      <c r="O49"/>
      <c r="P49"/>
      <c r="Q49"/>
    </row>
    <row r="50" spans="8:17" ht="15">
      <c r="H50"/>
      <c r="I50" s="3"/>
      <c r="L50" s="40">
        <f>SUM(L20:L49)</f>
        <v>0.004115684909238887</v>
      </c>
      <c r="M50"/>
      <c r="N50"/>
      <c r="O50"/>
      <c r="P50"/>
      <c r="Q50"/>
    </row>
    <row r="52" ht="12.75" customHeight="1"/>
  </sheetData>
  <sheetProtection selectLockedCells="1" selectUnlockedCells="1"/>
  <printOptions/>
  <pageMargins left="0.7479166666666667" right="0.7479166666666667" top="0.9840277777777777" bottom="1.1506944444444445" header="0.5118055555555555" footer="0.9840277777777777"/>
  <pageSetup fitToHeight="1" fitToWidth="1" horizontalDpi="300" verticalDpi="300" orientation="portrait"/>
  <headerFooter alignWithMargins="0">
    <oddFooter>&amp;L&amp;"Times New Roman,Regular"&amp;12Nadler &amp;&amp; Associates Confidential&amp;C&amp;"Times New Roman,Regular"&amp;12&amp;F&amp;R&amp;"Times New Roman,Regular"&amp;12&amp;D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2" sqref="A2"/>
    </sheetView>
  </sheetViews>
  <sheetFormatPr defaultColWidth="11.50390625" defaultRowHeight="12.75"/>
  <sheetData>
    <row r="1" spans="1:7" ht="12.75">
      <c r="A1" s="42" t="s">
        <v>41</v>
      </c>
      <c r="B1" s="9"/>
      <c r="C1" s="9"/>
      <c r="D1" s="9"/>
      <c r="E1" s="9"/>
      <c r="F1" s="9"/>
      <c r="G1" s="24"/>
    </row>
    <row r="2" ht="12.75">
      <c r="A2" t="s">
        <v>42</v>
      </c>
    </row>
    <row r="3" spans="1:7" ht="12.75">
      <c r="A3" s="9"/>
      <c r="B3" s="9"/>
      <c r="C3" s="9"/>
      <c r="D3" s="9"/>
      <c r="E3" s="9"/>
      <c r="F3" s="9"/>
      <c r="G3" s="24"/>
    </row>
    <row r="4" spans="1:7" s="44" customFormat="1" ht="12.75">
      <c r="A4" s="43" t="s">
        <v>43</v>
      </c>
      <c r="B4" s="43" t="s">
        <v>43</v>
      </c>
      <c r="C4" s="43" t="s">
        <v>44</v>
      </c>
      <c r="D4" s="43" t="s">
        <v>45</v>
      </c>
      <c r="E4" s="43" t="s">
        <v>46</v>
      </c>
      <c r="F4" s="43" t="s">
        <v>35</v>
      </c>
      <c r="G4" s="28"/>
    </row>
    <row r="5" spans="1:7" ht="12.75">
      <c r="A5" s="9">
        <v>38</v>
      </c>
      <c r="B5" s="9">
        <v>-1.55</v>
      </c>
      <c r="C5" s="9">
        <v>70</v>
      </c>
      <c r="D5" s="9">
        <v>-0.7974100000000001</v>
      </c>
      <c r="E5" s="9">
        <v>43.76</v>
      </c>
      <c r="F5" s="9">
        <v>-156.97</v>
      </c>
      <c r="G5" s="24"/>
    </row>
    <row r="6" spans="1:7" ht="12.75">
      <c r="A6" s="9">
        <v>40</v>
      </c>
      <c r="B6" s="9">
        <v>-1.32</v>
      </c>
      <c r="C6" s="9">
        <v>75</v>
      </c>
      <c r="D6" s="9">
        <v>-0.68071</v>
      </c>
      <c r="E6" s="9">
        <v>46.6</v>
      </c>
      <c r="F6" s="9">
        <v>-133.999</v>
      </c>
      <c r="G6" s="24"/>
    </row>
    <row r="7" spans="1:7" ht="12.75">
      <c r="A7" s="9">
        <v>43</v>
      </c>
      <c r="B7" s="9">
        <v>-1.25</v>
      </c>
      <c r="C7" s="9">
        <v>80</v>
      </c>
      <c r="D7" s="9">
        <v>-0.6418200000000001</v>
      </c>
      <c r="E7" s="9">
        <v>49.71</v>
      </c>
      <c r="F7" s="9">
        <v>-126.342</v>
      </c>
      <c r="G7" s="24"/>
    </row>
    <row r="8" spans="1:7" ht="12.75">
      <c r="A8" s="9">
        <v>46</v>
      </c>
      <c r="B8" s="9">
        <v>-1.25</v>
      </c>
      <c r="C8" s="9">
        <v>85</v>
      </c>
      <c r="D8" s="9">
        <v>-0.6418200000000001</v>
      </c>
      <c r="E8" s="9">
        <v>52.82</v>
      </c>
      <c r="F8" s="9">
        <v>-126.342</v>
      </c>
      <c r="G8" s="24"/>
    </row>
    <row r="9" spans="1:7" ht="12.75">
      <c r="A9" s="9">
        <v>49</v>
      </c>
      <c r="B9" s="9">
        <v>-1.32</v>
      </c>
      <c r="C9" s="9">
        <v>90</v>
      </c>
      <c r="D9" s="9">
        <v>-0.68071</v>
      </c>
      <c r="E9" s="9">
        <v>55.92</v>
      </c>
      <c r="F9" s="9">
        <v>-133.999</v>
      </c>
      <c r="G9" s="24"/>
    </row>
    <row r="10" spans="1:7" ht="12.75">
      <c r="A10" s="9">
        <v>51</v>
      </c>
      <c r="B10" s="9">
        <v>-1.4</v>
      </c>
      <c r="C10" s="9">
        <v>95</v>
      </c>
      <c r="D10" s="9">
        <v>-0.7196100000000001</v>
      </c>
      <c r="E10" s="9">
        <v>59.03</v>
      </c>
      <c r="F10" s="9">
        <v>-141.656</v>
      </c>
      <c r="G10" s="24"/>
    </row>
    <row r="11" spans="1:7" ht="12.75">
      <c r="A11" s="9">
        <v>54</v>
      </c>
      <c r="B11" s="9">
        <v>-1.55</v>
      </c>
      <c r="C11" s="9">
        <v>100</v>
      </c>
      <c r="D11" s="9">
        <v>-0.7974100000000001</v>
      </c>
      <c r="E11" s="9">
        <v>62.14</v>
      </c>
      <c r="F11" s="9">
        <v>-156.97</v>
      </c>
      <c r="G11" s="24"/>
    </row>
    <row r="12" spans="1:7" ht="12.75">
      <c r="A12" s="9">
        <v>57</v>
      </c>
      <c r="B12" s="9">
        <v>-1.66</v>
      </c>
      <c r="C12" s="9">
        <v>105</v>
      </c>
      <c r="D12" s="9">
        <v>-0.8557600000000001</v>
      </c>
      <c r="E12" s="9">
        <v>65.24</v>
      </c>
      <c r="F12" s="9">
        <v>-168.456</v>
      </c>
      <c r="G12" s="24"/>
    </row>
    <row r="13" spans="1:7" ht="12.75">
      <c r="A13" s="9">
        <v>59</v>
      </c>
      <c r="B13" s="9">
        <v>-1.81</v>
      </c>
      <c r="C13" s="9">
        <v>110</v>
      </c>
      <c r="D13" s="9">
        <v>-0.9335500000000001</v>
      </c>
      <c r="E13" s="9">
        <v>68.35</v>
      </c>
      <c r="F13" s="9">
        <v>-183.77</v>
      </c>
      <c r="G13" s="24"/>
    </row>
    <row r="14" spans="1:7" ht="12.75">
      <c r="A14" s="9">
        <v>62</v>
      </c>
      <c r="B14" s="9">
        <v>-2</v>
      </c>
      <c r="C14" s="9">
        <v>115</v>
      </c>
      <c r="D14" s="9">
        <v>-1.0308</v>
      </c>
      <c r="E14" s="9">
        <v>71.46</v>
      </c>
      <c r="F14" s="9">
        <v>-202.913</v>
      </c>
      <c r="G14" s="24"/>
    </row>
    <row r="15" spans="1:7" ht="12.75">
      <c r="A15" s="9">
        <v>65</v>
      </c>
      <c r="B15" s="9">
        <v>-2.19</v>
      </c>
      <c r="C15" s="9">
        <v>120</v>
      </c>
      <c r="D15" s="9">
        <v>-1.12804</v>
      </c>
      <c r="E15" s="9">
        <v>74.56</v>
      </c>
      <c r="F15" s="9">
        <v>-222.056</v>
      </c>
      <c r="G15" s="24"/>
    </row>
    <row r="16" spans="1:7" ht="12.75">
      <c r="A16" s="9">
        <v>67</v>
      </c>
      <c r="B16" s="9">
        <v>-2.42</v>
      </c>
      <c r="C16" s="9">
        <v>125</v>
      </c>
      <c r="D16" s="9">
        <v>-1.24474</v>
      </c>
      <c r="E16" s="9">
        <v>77.67</v>
      </c>
      <c r="F16" s="9">
        <v>-245.027</v>
      </c>
      <c r="G16" s="24"/>
    </row>
    <row r="17" spans="1:7" ht="12.75">
      <c r="A17" s="9">
        <v>70</v>
      </c>
      <c r="B17" s="9">
        <v>-2.64</v>
      </c>
      <c r="C17" s="9">
        <v>130</v>
      </c>
      <c r="D17" s="9">
        <v>-1.36143</v>
      </c>
      <c r="E17" s="9">
        <v>80.78</v>
      </c>
      <c r="F17" s="9">
        <v>-267.998</v>
      </c>
      <c r="G17" s="24"/>
    </row>
    <row r="18" spans="1:7" ht="12.75">
      <c r="A18" s="9">
        <v>73</v>
      </c>
      <c r="B18" s="9">
        <v>-2.87</v>
      </c>
      <c r="C18" s="9">
        <v>135</v>
      </c>
      <c r="D18" s="9">
        <v>-1.47812</v>
      </c>
      <c r="E18" s="9">
        <v>83.89</v>
      </c>
      <c r="F18" s="9">
        <v>-290.969</v>
      </c>
      <c r="G18" s="24"/>
    </row>
    <row r="19" spans="1:7" ht="12.75">
      <c r="A19" s="9">
        <v>76</v>
      </c>
      <c r="B19" s="9">
        <v>-3.17</v>
      </c>
      <c r="C19" s="9">
        <v>140</v>
      </c>
      <c r="D19" s="9">
        <v>-1.63372</v>
      </c>
      <c r="E19" s="9">
        <v>86.99</v>
      </c>
      <c r="F19" s="9">
        <v>-321.598</v>
      </c>
      <c r="G19" s="24"/>
    </row>
    <row r="20" spans="1:7" ht="12.75">
      <c r="A20" s="9">
        <v>78</v>
      </c>
      <c r="B20" s="9">
        <v>-3.44</v>
      </c>
      <c r="C20" s="9">
        <v>145</v>
      </c>
      <c r="D20" s="9">
        <v>-1.76986</v>
      </c>
      <c r="E20" s="9">
        <v>90.1</v>
      </c>
      <c r="F20" s="9">
        <v>-348.397</v>
      </c>
      <c r="G20" s="24"/>
    </row>
    <row r="21" spans="1:7" ht="12.75">
      <c r="A21" s="9">
        <v>81</v>
      </c>
      <c r="B21" s="9">
        <v>-3.7</v>
      </c>
      <c r="C21" s="9">
        <v>150</v>
      </c>
      <c r="D21" s="9">
        <v>-1.9060000000000001</v>
      </c>
      <c r="E21" s="9">
        <v>93.21</v>
      </c>
      <c r="F21" s="9">
        <v>-375.197</v>
      </c>
      <c r="G21" s="24"/>
    </row>
    <row r="22" spans="1:7" ht="12.75">
      <c r="A22" s="9">
        <v>84</v>
      </c>
      <c r="B22" s="9">
        <v>-4.04</v>
      </c>
      <c r="C22" s="9">
        <v>155</v>
      </c>
      <c r="D22" s="9">
        <v>-2.08104</v>
      </c>
      <c r="E22" s="9">
        <v>96.31</v>
      </c>
      <c r="F22" s="9">
        <v>-409.654</v>
      </c>
      <c r="G22" s="24"/>
    </row>
  </sheetData>
  <sheetProtection/>
  <hyperlinks>
    <hyperlink ref="A1" r:id="rId1" display="Polar imported from http://www.asw15.org/index.php?topic=944.0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18.50390625" style="1" customWidth="1"/>
    <col min="2" max="16384" width="8.875" style="1" customWidth="1"/>
  </cols>
  <sheetData>
    <row r="1" spans="1:2" ht="12.75">
      <c r="A1" s="41" t="s">
        <v>36</v>
      </c>
      <c r="B1" s="1">
        <f>0.59248/60</f>
        <v>0.009874666666666667</v>
      </c>
    </row>
    <row r="2" spans="1:2" ht="12.75">
      <c r="A2" s="41" t="s">
        <v>37</v>
      </c>
      <c r="B2" s="1">
        <v>2.2046</v>
      </c>
    </row>
    <row r="3" spans="1:2" ht="12.75">
      <c r="A3" s="41" t="s">
        <v>38</v>
      </c>
      <c r="B3" s="1">
        <v>1.9438445</v>
      </c>
    </row>
    <row r="4" spans="1:2" ht="12.75">
      <c r="A4" s="41" t="s">
        <v>39</v>
      </c>
      <c r="B4" s="1">
        <v>0.5396</v>
      </c>
    </row>
    <row r="5" spans="1:2" ht="12.75">
      <c r="A5" s="1" t="s">
        <v>40</v>
      </c>
      <c r="B5" s="1">
        <v>0.8689800000000001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</dc:creator>
  <cp:keywords/>
  <dc:description/>
  <cp:lastModifiedBy>Renee Nadler</cp:lastModifiedBy>
  <dcterms:created xsi:type="dcterms:W3CDTF">2014-07-10T11:22:57Z</dcterms:created>
  <dcterms:modified xsi:type="dcterms:W3CDTF">2014-07-10T18:45:11Z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