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R49" i="1" l="1"/>
  <c r="O49" i="1"/>
  <c r="L49" i="1"/>
  <c r="I49" i="1"/>
  <c r="F49" i="1"/>
  <c r="C49" i="1"/>
  <c r="AS48" i="1"/>
  <c r="AR48" i="1"/>
  <c r="AT48" i="1" s="1"/>
  <c r="AP48" i="1"/>
  <c r="AO48" i="1"/>
  <c r="AM48" i="1"/>
  <c r="AL48" i="1"/>
  <c r="AN48" i="1" s="1"/>
  <c r="AJ48" i="1"/>
  <c r="AI48" i="1"/>
  <c r="AK48" i="1" s="1"/>
  <c r="AG48" i="1"/>
  <c r="AF48" i="1"/>
  <c r="AH48" i="1" s="1"/>
  <c r="AD48" i="1"/>
  <c r="AV48" i="1" s="1"/>
  <c r="AC48" i="1"/>
  <c r="AA48" i="1"/>
  <c r="Z48" i="1"/>
  <c r="AB48" i="1" s="1"/>
  <c r="X48" i="1"/>
  <c r="W48" i="1"/>
  <c r="Y48" i="1" s="1"/>
  <c r="U48" i="1"/>
  <c r="AY48" i="1" s="1"/>
  <c r="T48" i="1"/>
  <c r="S48" i="1"/>
  <c r="P48" i="1"/>
  <c r="M48" i="1"/>
  <c r="J48" i="1"/>
  <c r="G48" i="1"/>
  <c r="D48" i="1"/>
  <c r="AS47" i="1"/>
  <c r="AR47" i="1"/>
  <c r="AT47" i="1" s="1"/>
  <c r="AP47" i="1"/>
  <c r="AO47" i="1"/>
  <c r="AQ47" i="1" s="1"/>
  <c r="AM47" i="1"/>
  <c r="AL47" i="1"/>
  <c r="AJ47" i="1"/>
  <c r="AI47" i="1"/>
  <c r="AK47" i="1" s="1"/>
  <c r="AG47" i="1"/>
  <c r="AF47" i="1"/>
  <c r="AH47" i="1" s="1"/>
  <c r="AD47" i="1"/>
  <c r="AC47" i="1"/>
  <c r="AE47" i="1" s="1"/>
  <c r="AA47" i="1"/>
  <c r="AY47" i="1" s="1"/>
  <c r="Z47" i="1"/>
  <c r="X47" i="1"/>
  <c r="W47" i="1"/>
  <c r="AU47" i="1" s="1"/>
  <c r="U47" i="1"/>
  <c r="T47" i="1"/>
  <c r="AX47" i="1" s="1"/>
  <c r="S47" i="1"/>
  <c r="P47" i="1"/>
  <c r="M47" i="1"/>
  <c r="J47" i="1"/>
  <c r="G47" i="1"/>
  <c r="D47" i="1"/>
  <c r="AS46" i="1"/>
  <c r="AR46" i="1"/>
  <c r="AT46" i="1" s="1"/>
  <c r="AP46" i="1"/>
  <c r="AO46" i="1"/>
  <c r="AQ46" i="1" s="1"/>
  <c r="AM46" i="1"/>
  <c r="AL46" i="1"/>
  <c r="AN46" i="1" s="1"/>
  <c r="AJ46" i="1"/>
  <c r="AI46" i="1"/>
  <c r="AG46" i="1"/>
  <c r="AF46" i="1"/>
  <c r="AH46" i="1" s="1"/>
  <c r="AD46" i="1"/>
  <c r="AC46" i="1"/>
  <c r="AE46" i="1" s="1"/>
  <c r="AA46" i="1"/>
  <c r="Z46" i="1"/>
  <c r="AB46" i="1" s="1"/>
  <c r="X46" i="1"/>
  <c r="AV46" i="1" s="1"/>
  <c r="W46" i="1"/>
  <c r="U46" i="1"/>
  <c r="T46" i="1"/>
  <c r="AU46" i="1" s="1"/>
  <c r="S46" i="1"/>
  <c r="P46" i="1"/>
  <c r="M46" i="1"/>
  <c r="J46" i="1"/>
  <c r="G46" i="1"/>
  <c r="D46" i="1"/>
  <c r="AS45" i="1"/>
  <c r="AR45" i="1"/>
  <c r="AP45" i="1"/>
  <c r="AO45" i="1"/>
  <c r="AQ45" i="1" s="1"/>
  <c r="AM45" i="1"/>
  <c r="AL45" i="1"/>
  <c r="AN45" i="1" s="1"/>
  <c r="AJ45" i="1"/>
  <c r="AI45" i="1"/>
  <c r="AK45" i="1" s="1"/>
  <c r="AG45" i="1"/>
  <c r="AF45" i="1"/>
  <c r="AD45" i="1"/>
  <c r="AC45" i="1"/>
  <c r="AE45" i="1" s="1"/>
  <c r="AA45" i="1"/>
  <c r="Z45" i="1"/>
  <c r="AB45" i="1" s="1"/>
  <c r="X45" i="1"/>
  <c r="W45" i="1"/>
  <c r="AU45" i="1" s="1"/>
  <c r="U45" i="1"/>
  <c r="AV45" i="1" s="1"/>
  <c r="T45" i="1"/>
  <c r="S45" i="1"/>
  <c r="P45" i="1"/>
  <c r="M45" i="1"/>
  <c r="J45" i="1"/>
  <c r="G45" i="1"/>
  <c r="D45" i="1"/>
  <c r="AS44" i="1"/>
  <c r="AR44" i="1"/>
  <c r="AT44" i="1" s="1"/>
  <c r="AP44" i="1"/>
  <c r="AO44" i="1"/>
  <c r="AM44" i="1"/>
  <c r="AL44" i="1"/>
  <c r="AN44" i="1" s="1"/>
  <c r="AJ44" i="1"/>
  <c r="AI44" i="1"/>
  <c r="AK44" i="1" s="1"/>
  <c r="AG44" i="1"/>
  <c r="AF44" i="1"/>
  <c r="AH44" i="1" s="1"/>
  <c r="AD44" i="1"/>
  <c r="AV44" i="1" s="1"/>
  <c r="AC44" i="1"/>
  <c r="AA44" i="1"/>
  <c r="Z44" i="1"/>
  <c r="AB44" i="1" s="1"/>
  <c r="X44" i="1"/>
  <c r="W44" i="1"/>
  <c r="Y44" i="1" s="1"/>
  <c r="U44" i="1"/>
  <c r="AY44" i="1" s="1"/>
  <c r="T44" i="1"/>
  <c r="V44" i="1" s="1"/>
  <c r="Q44" i="1"/>
  <c r="S44" i="1" s="1"/>
  <c r="N44" i="1"/>
  <c r="K44" i="1"/>
  <c r="M44" i="1" s="1"/>
  <c r="H44" i="1"/>
  <c r="E44" i="1"/>
  <c r="G44" i="1" s="1"/>
  <c r="B44" i="1"/>
  <c r="AS43" i="1"/>
  <c r="AR43" i="1"/>
  <c r="AT43" i="1" s="1"/>
  <c r="AP43" i="1"/>
  <c r="AO43" i="1"/>
  <c r="AQ43" i="1" s="1"/>
  <c r="AM43" i="1"/>
  <c r="AL43" i="1"/>
  <c r="AJ43" i="1"/>
  <c r="AI43" i="1"/>
  <c r="AK43" i="1" s="1"/>
  <c r="AG43" i="1"/>
  <c r="AF43" i="1"/>
  <c r="AH43" i="1" s="1"/>
  <c r="AD43" i="1"/>
  <c r="AC43" i="1"/>
  <c r="AE43" i="1" s="1"/>
  <c r="AA43" i="1"/>
  <c r="AY43" i="1" s="1"/>
  <c r="Z43" i="1"/>
  <c r="X43" i="1"/>
  <c r="W43" i="1"/>
  <c r="AU43" i="1" s="1"/>
  <c r="U43" i="1"/>
  <c r="T43" i="1"/>
  <c r="AX43" i="1" s="1"/>
  <c r="S43" i="1"/>
  <c r="P43" i="1"/>
  <c r="M43" i="1"/>
  <c r="J43" i="1"/>
  <c r="G43" i="1"/>
  <c r="D43" i="1"/>
  <c r="AS42" i="1"/>
  <c r="AR42" i="1"/>
  <c r="AT42" i="1" s="1"/>
  <c r="AP42" i="1"/>
  <c r="AO42" i="1"/>
  <c r="AQ42" i="1" s="1"/>
  <c r="AM42" i="1"/>
  <c r="AL42" i="1"/>
  <c r="AN42" i="1" s="1"/>
  <c r="AJ42" i="1"/>
  <c r="AI42" i="1"/>
  <c r="AG42" i="1"/>
  <c r="AF42" i="1"/>
  <c r="AH42" i="1" s="1"/>
  <c r="AD42" i="1"/>
  <c r="AC42" i="1"/>
  <c r="AE42" i="1" s="1"/>
  <c r="AA42" i="1"/>
  <c r="Z42" i="1"/>
  <c r="AB42" i="1" s="1"/>
  <c r="X42" i="1"/>
  <c r="AV42" i="1" s="1"/>
  <c r="W42" i="1"/>
  <c r="U42" i="1"/>
  <c r="T42" i="1"/>
  <c r="AU42" i="1" s="1"/>
  <c r="S42" i="1"/>
  <c r="P42" i="1"/>
  <c r="M42" i="1"/>
  <c r="J42" i="1"/>
  <c r="G42" i="1"/>
  <c r="D42" i="1"/>
  <c r="AS41" i="1"/>
  <c r="AR41" i="1"/>
  <c r="AP41" i="1"/>
  <c r="AO41" i="1"/>
  <c r="AQ41" i="1" s="1"/>
  <c r="AM41" i="1"/>
  <c r="AL41" i="1"/>
  <c r="AN41" i="1" s="1"/>
  <c r="AJ41" i="1"/>
  <c r="AI41" i="1"/>
  <c r="AK41" i="1" s="1"/>
  <c r="AG41" i="1"/>
  <c r="AF41" i="1"/>
  <c r="AH41" i="1" s="1"/>
  <c r="AD41" i="1"/>
  <c r="AC41" i="1"/>
  <c r="AE41" i="1" s="1"/>
  <c r="AA41" i="1"/>
  <c r="Z41" i="1"/>
  <c r="AB41" i="1" s="1"/>
  <c r="X41" i="1"/>
  <c r="W41" i="1"/>
  <c r="Y41" i="1" s="1"/>
  <c r="U41" i="1"/>
  <c r="AV41" i="1" s="1"/>
  <c r="T41" i="1"/>
  <c r="S41" i="1"/>
  <c r="P41" i="1"/>
  <c r="M41" i="1"/>
  <c r="J41" i="1"/>
  <c r="G41" i="1"/>
  <c r="D41" i="1"/>
  <c r="AS40" i="1"/>
  <c r="AR40" i="1"/>
  <c r="AT40" i="1" s="1"/>
  <c r="AP40" i="1"/>
  <c r="AO40" i="1"/>
  <c r="AQ40" i="1" s="1"/>
  <c r="AM40" i="1"/>
  <c r="AL40" i="1"/>
  <c r="AN40" i="1" s="1"/>
  <c r="AJ40" i="1"/>
  <c r="AI40" i="1"/>
  <c r="AK40" i="1" s="1"/>
  <c r="AG40" i="1"/>
  <c r="AF40" i="1"/>
  <c r="AH40" i="1" s="1"/>
  <c r="AD40" i="1"/>
  <c r="AC40" i="1"/>
  <c r="AE40" i="1" s="1"/>
  <c r="AA40" i="1"/>
  <c r="Z40" i="1"/>
  <c r="AB40" i="1" s="1"/>
  <c r="X40" i="1"/>
  <c r="AV40" i="1" s="1"/>
  <c r="W40" i="1"/>
  <c r="Y40" i="1" s="1"/>
  <c r="U40" i="1"/>
  <c r="AY40" i="1" s="1"/>
  <c r="T40" i="1"/>
  <c r="AU40" i="1" s="1"/>
  <c r="S40" i="1"/>
  <c r="P40" i="1"/>
  <c r="M40" i="1"/>
  <c r="J40" i="1"/>
  <c r="G40" i="1"/>
  <c r="D40" i="1"/>
  <c r="AS39" i="1"/>
  <c r="AR39" i="1"/>
  <c r="AT39" i="1" s="1"/>
  <c r="AP39" i="1"/>
  <c r="AO39" i="1"/>
  <c r="AQ39" i="1" s="1"/>
  <c r="AM39" i="1"/>
  <c r="AM49" i="1" s="1"/>
  <c r="AL39" i="1"/>
  <c r="AN39" i="1" s="1"/>
  <c r="AJ39" i="1"/>
  <c r="AI39" i="1"/>
  <c r="AI49" i="1" s="1"/>
  <c r="AG39" i="1"/>
  <c r="AF39" i="1"/>
  <c r="AH39" i="1" s="1"/>
  <c r="AD39" i="1"/>
  <c r="AC39" i="1"/>
  <c r="AE39" i="1" s="1"/>
  <c r="AA39" i="1"/>
  <c r="AA49" i="1" s="1"/>
  <c r="Z39" i="1"/>
  <c r="AB39" i="1" s="1"/>
  <c r="X39" i="1"/>
  <c r="W39" i="1"/>
  <c r="W49" i="1" s="1"/>
  <c r="U39" i="1"/>
  <c r="AV39" i="1" s="1"/>
  <c r="T39" i="1"/>
  <c r="AX39" i="1" s="1"/>
  <c r="S39" i="1"/>
  <c r="S49" i="1" s="1"/>
  <c r="P39" i="1"/>
  <c r="M39" i="1"/>
  <c r="M49" i="1" s="1"/>
  <c r="J39" i="1"/>
  <c r="G39" i="1"/>
  <c r="D39" i="1"/>
  <c r="AS38" i="1"/>
  <c r="AS49" i="1" s="1"/>
  <c r="AR38" i="1"/>
  <c r="AR49" i="1" s="1"/>
  <c r="AP38" i="1"/>
  <c r="AP49" i="1" s="1"/>
  <c r="AO38" i="1"/>
  <c r="AO49" i="1" s="1"/>
  <c r="AM38" i="1"/>
  <c r="AL38" i="1"/>
  <c r="AL49" i="1" s="1"/>
  <c r="AJ38" i="1"/>
  <c r="AJ49" i="1" s="1"/>
  <c r="AI38" i="1"/>
  <c r="AK38" i="1" s="1"/>
  <c r="AG38" i="1"/>
  <c r="AG49" i="1" s="1"/>
  <c r="AF38" i="1"/>
  <c r="AF49" i="1" s="1"/>
  <c r="AD38" i="1"/>
  <c r="AD49" i="1" s="1"/>
  <c r="AC38" i="1"/>
  <c r="AC49" i="1" s="1"/>
  <c r="AA38" i="1"/>
  <c r="Z38" i="1"/>
  <c r="Z49" i="1" s="1"/>
  <c r="X38" i="1"/>
  <c r="W38" i="1"/>
  <c r="Y38" i="1" s="1"/>
  <c r="U38" i="1"/>
  <c r="U49" i="1" s="1"/>
  <c r="T38" i="1"/>
  <c r="S38" i="1"/>
  <c r="P38" i="1"/>
  <c r="M38" i="1"/>
  <c r="J38" i="1"/>
  <c r="G38" i="1"/>
  <c r="D38" i="1"/>
  <c r="M11" i="1"/>
  <c r="I11" i="1"/>
  <c r="P10" i="1"/>
  <c r="P11" i="1" s="1"/>
  <c r="N10" i="1"/>
  <c r="N11" i="1" s="1"/>
  <c r="L10" i="1"/>
  <c r="J10" i="1"/>
  <c r="J11" i="1" s="1"/>
  <c r="H10" i="1"/>
  <c r="O9" i="1"/>
  <c r="M9" i="1"/>
  <c r="K9" i="1"/>
  <c r="I9" i="1"/>
  <c r="R9" i="1" s="1"/>
  <c r="O8" i="1"/>
  <c r="K8" i="1"/>
  <c r="R8" i="1" s="1"/>
  <c r="Q7" i="1"/>
  <c r="L7" i="1"/>
  <c r="L11" i="1" s="1"/>
  <c r="O6" i="1"/>
  <c r="R6" i="1" s="1"/>
  <c r="K6" i="1"/>
  <c r="R5" i="1"/>
  <c r="O5" i="1"/>
  <c r="K5" i="1"/>
  <c r="Q5" i="1" s="1"/>
  <c r="O4" i="1"/>
  <c r="O11" i="1" s="1"/>
  <c r="K4" i="1"/>
  <c r="Q8" i="1" l="1"/>
  <c r="H11" i="1"/>
  <c r="Q10" i="1"/>
  <c r="AB38" i="1"/>
  <c r="AN38" i="1"/>
  <c r="Q4" i="1"/>
  <c r="R4" i="1"/>
  <c r="Q6" i="1"/>
  <c r="Q9" i="1"/>
  <c r="R10" i="1"/>
  <c r="K11" i="1"/>
  <c r="T49" i="1"/>
  <c r="AU38" i="1"/>
  <c r="AX38" i="1"/>
  <c r="V38" i="1"/>
  <c r="X49" i="1"/>
  <c r="AV38" i="1"/>
  <c r="AH38" i="1"/>
  <c r="AT38" i="1"/>
  <c r="AT49" i="1" s="1"/>
  <c r="Y39" i="1"/>
  <c r="AK39" i="1"/>
  <c r="AK49" i="1" s="1"/>
  <c r="AU39" i="1"/>
  <c r="AY39" i="1"/>
  <c r="V40" i="1"/>
  <c r="AZ40" i="1" s="1"/>
  <c r="AX40" i="1"/>
  <c r="V42" i="1"/>
  <c r="AX42" i="1"/>
  <c r="Y43" i="1"/>
  <c r="V46" i="1"/>
  <c r="AZ46" i="1" s="1"/>
  <c r="AX46" i="1"/>
  <c r="Y47" i="1"/>
  <c r="E49" i="1"/>
  <c r="G49" i="1"/>
  <c r="K49" i="1"/>
  <c r="Q49" i="1"/>
  <c r="R7" i="1"/>
  <c r="AE38" i="1"/>
  <c r="AQ38" i="1"/>
  <c r="AY38" i="1"/>
  <c r="V39" i="1"/>
  <c r="AZ39" i="1" s="1"/>
  <c r="AX41" i="1"/>
  <c r="V41" i="1"/>
  <c r="AW41" i="1" s="1"/>
  <c r="AT41" i="1"/>
  <c r="AU41" i="1"/>
  <c r="AY41" i="1"/>
  <c r="AY42" i="1"/>
  <c r="Y42" i="1"/>
  <c r="AK42" i="1"/>
  <c r="AZ42" i="1" s="1"/>
  <c r="AV43" i="1"/>
  <c r="AB43" i="1"/>
  <c r="AN43" i="1"/>
  <c r="B49" i="1"/>
  <c r="AU44" i="1"/>
  <c r="D44" i="1"/>
  <c r="H49" i="1"/>
  <c r="J44" i="1"/>
  <c r="J49" i="1" s="1"/>
  <c r="N49" i="1"/>
  <c r="P44" i="1"/>
  <c r="P49" i="1" s="1"/>
  <c r="AE44" i="1"/>
  <c r="AQ44" i="1"/>
  <c r="AX44" i="1"/>
  <c r="AX45" i="1"/>
  <c r="Y45" i="1"/>
  <c r="AH45" i="1"/>
  <c r="AT45" i="1"/>
  <c r="AY45" i="1"/>
  <c r="AY46" i="1"/>
  <c r="Y46" i="1"/>
  <c r="Y49" i="1" s="1"/>
  <c r="AK46" i="1"/>
  <c r="AV47" i="1"/>
  <c r="AB47" i="1"/>
  <c r="AZ47" i="1" s="1"/>
  <c r="AN47" i="1"/>
  <c r="AW47" i="1"/>
  <c r="AU48" i="1"/>
  <c r="V48" i="1"/>
  <c r="AE48" i="1"/>
  <c r="AQ48" i="1"/>
  <c r="AX48" i="1"/>
  <c r="AV49" i="1"/>
  <c r="AY49" i="1"/>
  <c r="V43" i="1"/>
  <c r="AZ43" i="1" s="1"/>
  <c r="V45" i="1"/>
  <c r="AW45" i="1" s="1"/>
  <c r="V47" i="1"/>
  <c r="AW44" i="1" l="1"/>
  <c r="AQ49" i="1"/>
  <c r="AX49" i="1"/>
  <c r="AW46" i="1"/>
  <c r="AZ45" i="1"/>
  <c r="AW42" i="1"/>
  <c r="AZ41" i="1"/>
  <c r="AW39" i="1"/>
  <c r="AZ44" i="1"/>
  <c r="V49" i="1"/>
  <c r="AU49" i="1"/>
  <c r="D49" i="1"/>
  <c r="AW40" i="1"/>
  <c r="R11" i="1"/>
  <c r="Q11" i="1"/>
  <c r="AZ48" i="1"/>
  <c r="AW48" i="1"/>
  <c r="AW43" i="1"/>
  <c r="AE49" i="1"/>
  <c r="AH49" i="1"/>
  <c r="AZ38" i="1"/>
  <c r="AW38" i="1"/>
  <c r="AN49" i="1"/>
  <c r="AZ49" i="1" s="1"/>
  <c r="AB49" i="1"/>
  <c r="AW49" i="1" l="1"/>
</calcChain>
</file>

<file path=xl/sharedStrings.xml><?xml version="1.0" encoding="utf-8"?>
<sst xmlns="http://schemas.openxmlformats.org/spreadsheetml/2006/main" count="116" uniqueCount="48">
  <si>
    <t>TOTAL NOMBRE DE MONTEES VOYAGEURS PAR JOUR</t>
  </si>
  <si>
    <t>semaine</t>
  </si>
  <si>
    <t>sem 0</t>
  </si>
  <si>
    <t>sem 10</t>
  </si>
  <si>
    <t>sem 11</t>
  </si>
  <si>
    <t>sem 12</t>
  </si>
  <si>
    <t>sem 13</t>
  </si>
  <si>
    <t>sem 14</t>
  </si>
  <si>
    <t>sem 15</t>
  </si>
  <si>
    <t>sem 16</t>
  </si>
  <si>
    <t>sem 17</t>
  </si>
  <si>
    <r>
      <t xml:space="preserve">sem 18 </t>
    </r>
    <r>
      <rPr>
        <sz val="11"/>
        <color rgb="FF7030A0"/>
        <rFont val="Calibri"/>
        <family val="2"/>
        <scheme val="minor"/>
      </rPr>
      <t>**</t>
    </r>
  </si>
  <si>
    <r>
      <t xml:space="preserve">sem 19 </t>
    </r>
    <r>
      <rPr>
        <sz val="11"/>
        <color rgb="FFFF0000"/>
        <rFont val="Calibri"/>
        <family val="2"/>
        <scheme val="minor"/>
      </rPr>
      <t>*</t>
    </r>
  </si>
  <si>
    <t>sem 20</t>
  </si>
  <si>
    <t>sem 21</t>
  </si>
  <si>
    <r>
      <t xml:space="preserve">sem 22 </t>
    </r>
    <r>
      <rPr>
        <sz val="11"/>
        <color rgb="FF7030A0"/>
        <rFont val="Calibri"/>
        <family val="2"/>
        <scheme val="minor"/>
      </rPr>
      <t>**</t>
    </r>
  </si>
  <si>
    <t>sem 23</t>
  </si>
  <si>
    <t>total</t>
  </si>
  <si>
    <t>Moyenne (sans sem 0 + sans sem 10 pour le week-end)</t>
  </si>
  <si>
    <t>lundi</t>
  </si>
  <si>
    <t>mardi</t>
  </si>
  <si>
    <t>mercredi</t>
  </si>
  <si>
    <t>jeudi</t>
  </si>
  <si>
    <t>vendredi</t>
  </si>
  <si>
    <t>samedi</t>
  </si>
  <si>
    <t>dimanche</t>
  </si>
  <si>
    <t>Total général</t>
  </si>
  <si>
    <t>*estimation</t>
  </si>
  <si>
    <t>* lancement des nouvelles circulations : pas de comptages pour la sem 19</t>
  </si>
  <si>
    <t>** semaines 18 et 22 : jeudi férié = circulations du samedi (JOB = sem précédente, samdi calculé /t au dimch)</t>
  </si>
  <si>
    <t>Les résultats anormalement bas des semaines 18, 19 et 22 s'expliquent certainement par les données reconstituées à partir de données partielles avec un jeudi férié = samedi (il serait préférable d'avoir sur ce type de semaine les données de l'autre JOB, ici donc le mardi)</t>
  </si>
  <si>
    <t>NOMBRE DE MONTEES VOYAGEURS PAR GARE</t>
  </si>
  <si>
    <t>Moyenne (sans 0)</t>
  </si>
  <si>
    <t>M</t>
  </si>
  <si>
    <t>D</t>
  </si>
  <si>
    <t>M+D</t>
  </si>
  <si>
    <t>Abbaretz</t>
  </si>
  <si>
    <t>Babinière</t>
  </si>
  <si>
    <t>Châteaubriant</t>
  </si>
  <si>
    <t>Erdre Active</t>
  </si>
  <si>
    <t>Haluchère</t>
  </si>
  <si>
    <t>Issé</t>
  </si>
  <si>
    <t>La Chapelle-Aulnay</t>
  </si>
  <si>
    <t>La Chapelle Centre</t>
  </si>
  <si>
    <t>Nantes</t>
  </si>
  <si>
    <t>Nort</t>
  </si>
  <si>
    <t>Sucé</t>
  </si>
  <si>
    <t>** semaines 18 et 22 : jeudi férié = circulations du samedi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</si>
</sst>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4" fontId="0" fillId="0" borderId="3" xfId="0" applyNumberFormat="1" applyBorder="1"/>
    <xf numFmtId="164" fontId="0" fillId="0" borderId="0" xfId="0" applyNumberFormat="1"/>
    <xf numFmtId="164" fontId="4" fillId="0" borderId="3" xfId="1" applyNumberFormat="1" applyFont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164" fontId="7" fillId="6" borderId="3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164" fontId="3" fillId="0" borderId="3" xfId="0" applyNumberFormat="1" applyFont="1" applyBorder="1"/>
    <xf numFmtId="0" fontId="8" fillId="5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9" fillId="0" borderId="0" xfId="0" applyFont="1"/>
    <xf numFmtId="0" fontId="4" fillId="0" borderId="0" xfId="0" applyFont="1"/>
    <xf numFmtId="0" fontId="2" fillId="0" borderId="0" xfId="0" applyFont="1"/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164" fontId="0" fillId="0" borderId="3" xfId="1" applyNumberFormat="1" applyFont="1" applyBorder="1"/>
    <xf numFmtId="164" fontId="6" fillId="5" borderId="3" xfId="1" applyNumberFormat="1" applyFont="1" applyFill="1" applyBorder="1"/>
    <xf numFmtId="164" fontId="5" fillId="0" borderId="3" xfId="1" applyNumberFormat="1" applyFont="1" applyBorder="1"/>
    <xf numFmtId="164" fontId="10" fillId="5" borderId="3" xfId="1" applyNumberFormat="1" applyFont="1" applyFill="1" applyBorder="1"/>
    <xf numFmtId="164" fontId="0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Fréquentation totale (en nombre de montées)</a:t>
            </a:r>
          </a:p>
          <a:p>
            <a:pPr>
              <a:defRPr/>
            </a:pPr>
            <a:r>
              <a:rPr lang="en-US" sz="1200" i="1" baseline="0">
                <a:solidFill>
                  <a:schemeClr val="accent5">
                    <a:lumMod val="50000"/>
                  </a:schemeClr>
                </a:solidFill>
              </a:rPr>
              <a:t>(précision : à partir de la semaine 15, il s'agit de données reconstituées)</a:t>
            </a:r>
            <a:endParaRPr lang="en-US" sz="1200" i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108065490513291E-2"/>
          <c:y val="0.19420831969203056"/>
          <c:w val="0.8988195461263051"/>
          <c:h val="0.71049296498171488"/>
        </c:manualLayout>
      </c:layout>
      <c:lineChart>
        <c:grouping val="standard"/>
        <c:varyColors val="0"/>
        <c:ser>
          <c:idx val="0"/>
          <c:order val="0"/>
          <c:tx>
            <c:strRef>
              <c:f>'[1]synthèse totale'!$B$11:$P$11</c:f>
              <c:strCache>
                <c:ptCount val="1"/>
                <c:pt idx="0">
                  <c:v> 3 443     8 415     7 440     6 542     6 395     6 822     5 293     5 261     5 012     4 327     4 132     6 533     6 315     5 755     6 297   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5.2015604681404419E-2"/>
                  <c:y val="2.2824532958236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713717693837074E-2"/>
                  <c:y val="3.8040888263726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603048376408217E-2"/>
                  <c:y val="3.4236799437354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724737191409868E-2"/>
                  <c:y val="4.1844977090099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5602841528263601E-2"/>
                  <c:y val="4.564906591647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0131826741996232E-2"/>
                  <c:y val="-4.1844977090099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2486992715921017E-2"/>
                  <c:y val="-2.2824532958236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7801939689900886E-2"/>
                  <c:y val="3.423649990280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8.3246618106139446E-3"/>
                  <c:y val="3.8040888263726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tx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'[1]synthèse totale'!$B$3:$P$3</c:f>
              <c:strCache>
                <c:ptCount val="15"/>
                <c:pt idx="0">
                  <c:v>sem 0</c:v>
                </c:pt>
                <c:pt idx="1">
                  <c:v>sem 10</c:v>
                </c:pt>
                <c:pt idx="2">
                  <c:v>sem 11</c:v>
                </c:pt>
                <c:pt idx="3">
                  <c:v>sem 12</c:v>
                </c:pt>
                <c:pt idx="4">
                  <c:v>sem 13</c:v>
                </c:pt>
                <c:pt idx="5">
                  <c:v>sem 14</c:v>
                </c:pt>
                <c:pt idx="6">
                  <c:v>sem 15</c:v>
                </c:pt>
                <c:pt idx="7">
                  <c:v>sem 16</c:v>
                </c:pt>
                <c:pt idx="8">
                  <c:v>sem 17</c:v>
                </c:pt>
                <c:pt idx="9">
                  <c:v>sem 18 **</c:v>
                </c:pt>
                <c:pt idx="10">
                  <c:v>sem 19 *</c:v>
                </c:pt>
                <c:pt idx="11">
                  <c:v>sem 20</c:v>
                </c:pt>
                <c:pt idx="12">
                  <c:v>sem 21</c:v>
                </c:pt>
                <c:pt idx="13">
                  <c:v>sem 22 **</c:v>
                </c:pt>
                <c:pt idx="14">
                  <c:v>sem 23</c:v>
                </c:pt>
              </c:strCache>
            </c:strRef>
          </c:cat>
          <c:val>
            <c:numRef>
              <c:f>'[1]synthèse totale'!$B$11:$P$11</c:f>
              <c:numCache>
                <c:formatCode>_-* #,##0\ _€_-;\-* #,##0\ _€_-;_-* "-"??\ _€_-;_-@_-</c:formatCode>
                <c:ptCount val="15"/>
                <c:pt idx="0">
                  <c:v>3443</c:v>
                </c:pt>
                <c:pt idx="1">
                  <c:v>8415</c:v>
                </c:pt>
                <c:pt idx="2">
                  <c:v>7440</c:v>
                </c:pt>
                <c:pt idx="3">
                  <c:v>6541.5</c:v>
                </c:pt>
                <c:pt idx="4">
                  <c:v>6395</c:v>
                </c:pt>
                <c:pt idx="5">
                  <c:v>6821.5</c:v>
                </c:pt>
                <c:pt idx="6">
                  <c:v>5292.5396825396829</c:v>
                </c:pt>
                <c:pt idx="7">
                  <c:v>5261.2162162162167</c:v>
                </c:pt>
                <c:pt idx="8">
                  <c:v>5011.8253968253966</c:v>
                </c:pt>
                <c:pt idx="9">
                  <c:v>4326.6486486486483</c:v>
                </c:pt>
                <c:pt idx="10">
                  <c:v>4132.333333333333</c:v>
                </c:pt>
                <c:pt idx="11">
                  <c:v>6533.2432432432433</c:v>
                </c:pt>
                <c:pt idx="12">
                  <c:v>6315.3174603174602</c:v>
                </c:pt>
                <c:pt idx="13">
                  <c:v>5754.6756756756758</c:v>
                </c:pt>
                <c:pt idx="14">
                  <c:v>6296.5873015873012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95584"/>
        <c:axId val="45803392"/>
      </c:lineChart>
      <c:catAx>
        <c:axId val="457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803392"/>
        <c:crosses val="autoZero"/>
        <c:auto val="1"/>
        <c:lblAlgn val="ctr"/>
        <c:lblOffset val="100"/>
        <c:noMultiLvlLbl val="0"/>
      </c:catAx>
      <c:valAx>
        <c:axId val="45803392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457955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/>
    </a:solidFill>
    <a:ln>
      <a:solidFill>
        <a:schemeClr val="accent3"/>
      </a:solidFill>
    </a:ln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Fréquentation moyenne par gare (en nombre M+D)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'[1]synthèse totale'!$AX$36</c:f>
              <c:strCache>
                <c:ptCount val="1"/>
                <c:pt idx="0">
                  <c:v>Moyenne (sans 0)</c:v>
                </c:pt>
              </c:strCache>
            </c:strRef>
          </c:tx>
          <c:spPr>
            <a:solidFill>
              <a:schemeClr val="accent5"/>
            </a:solidFill>
            <a:ln w="31750">
              <a:solidFill>
                <a:schemeClr val="accent5"/>
              </a:solidFill>
            </a:ln>
          </c:spPr>
          <c:invertIfNegative val="0"/>
          <c:dLbls>
            <c:dLbl>
              <c:idx val="1"/>
              <c:layout>
                <c:manualLayout>
                  <c:x val="-1.4595765662119559E-2"/>
                  <c:y val="-1.4003539899350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1954022988505746E-3"/>
                  <c:y val="-2.1470742478562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9334618570908724E-3"/>
                  <c:y val="-2.9851314043108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156504773186535E-3"/>
                  <c:y val="-2.939092943475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'[1]synthèse totale'!$A$38:$A$48</c:f>
              <c:strCache>
                <c:ptCount val="11"/>
                <c:pt idx="0">
                  <c:v>Abbaretz</c:v>
                </c:pt>
                <c:pt idx="1">
                  <c:v>Babinière</c:v>
                </c:pt>
                <c:pt idx="2">
                  <c:v>Châteaubriant</c:v>
                </c:pt>
                <c:pt idx="3">
                  <c:v>Erdre Active</c:v>
                </c:pt>
                <c:pt idx="4">
                  <c:v>Haluchère</c:v>
                </c:pt>
                <c:pt idx="5">
                  <c:v>Issé</c:v>
                </c:pt>
                <c:pt idx="6">
                  <c:v>La Chapelle-Aulnay</c:v>
                </c:pt>
                <c:pt idx="7">
                  <c:v>La Chapelle Centre</c:v>
                </c:pt>
                <c:pt idx="8">
                  <c:v>Nantes</c:v>
                </c:pt>
                <c:pt idx="9">
                  <c:v>Nort</c:v>
                </c:pt>
                <c:pt idx="10">
                  <c:v>Sucé</c:v>
                </c:pt>
              </c:strCache>
            </c:strRef>
          </c:cat>
          <c:val>
            <c:numRef>
              <c:f>'[1]synthèse totale'!$AZ$38:$AZ$48</c:f>
              <c:numCache>
                <c:formatCode>_-* #,##0\ _€_-;\-* #,##0\ _€_-;_-* "-"??\ _€_-;_-@_-</c:formatCode>
                <c:ptCount val="11"/>
                <c:pt idx="0">
                  <c:v>365.00588343445492</c:v>
                </c:pt>
                <c:pt idx="1">
                  <c:v>405.72816694245273</c:v>
                </c:pt>
                <c:pt idx="2">
                  <c:v>1550.3901299258446</c:v>
                </c:pt>
                <c:pt idx="3">
                  <c:v>668.49678249678243</c:v>
                </c:pt>
                <c:pt idx="4">
                  <c:v>1083.9782358889502</c:v>
                </c:pt>
                <c:pt idx="5">
                  <c:v>243.78044370901515</c:v>
                </c:pt>
                <c:pt idx="6">
                  <c:v>679.98832505975338</c:v>
                </c:pt>
                <c:pt idx="7">
                  <c:v>982.95862444076727</c:v>
                </c:pt>
                <c:pt idx="8">
                  <c:v>4058.34264877122</c:v>
                </c:pt>
                <c:pt idx="9">
                  <c:v>1207.9926074033215</c:v>
                </c:pt>
                <c:pt idx="10">
                  <c:v>767.86406814978238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55424"/>
        <c:axId val="89031040"/>
      </c:barChart>
      <c:catAx>
        <c:axId val="776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fr-FR"/>
          </a:p>
        </c:txPr>
        <c:crossAx val="89031040"/>
        <c:crosses val="autoZero"/>
        <c:auto val="1"/>
        <c:lblAlgn val="ctr"/>
        <c:lblOffset val="100"/>
        <c:noMultiLvlLbl val="0"/>
      </c:catAx>
      <c:valAx>
        <c:axId val="8903104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7765542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/>
    </a:solidFill>
    <a:effectLst>
      <a:innerShdw blurRad="114300">
        <a:prstClr val="black"/>
      </a:innerShdw>
    </a:effec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790574</xdr:colOff>
      <xdr:row>14</xdr:row>
      <xdr:rowOff>95250</xdr:rowOff>
    </xdr:from>
    <xdr:to>
      <xdr:col>15</xdr:col>
      <xdr:colOff>590549</xdr:colOff>
      <xdr:row>32</xdr:row>
      <xdr:rowOff>4763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819150</xdr:colOff>
      <xdr:row>50</xdr:row>
      <xdr:rowOff>9525</xdr:rowOff>
    </xdr:from>
    <xdr:to>
      <xdr:col>16</xdr:col>
      <xdr:colOff>0</xdr:colOff>
      <xdr:row>67</xdr:row>
      <xdr:rowOff>152400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-SOTR/02.%20PTP/01.%20SUIVI%20STATISTIQUE/01.%20SUIVI%20STATs/02.TER%20SNCF/2.par%20ligne%20ferroviaire/TT%20Nantes%20-%20Ch&#226;teaubriant/synth&#232;s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totale"/>
      <sheetName val="calcul estimation"/>
      <sheetName val="synthèse JOB"/>
      <sheetName val="synthèse samedi"/>
      <sheetName val="synthèse dimanche"/>
    </sheetNames>
    <sheetDataSet>
      <sheetData sheetId="0">
        <row r="3">
          <cell r="B3" t="str">
            <v>sem 0</v>
          </cell>
          <cell r="C3" t="str">
            <v>sem 10</v>
          </cell>
          <cell r="D3" t="str">
            <v>sem 11</v>
          </cell>
          <cell r="E3" t="str">
            <v>sem 12</v>
          </cell>
          <cell r="F3" t="str">
            <v>sem 13</v>
          </cell>
          <cell r="G3" t="str">
            <v>sem 14</v>
          </cell>
          <cell r="H3" t="str">
            <v>sem 15</v>
          </cell>
          <cell r="I3" t="str">
            <v>sem 16</v>
          </cell>
          <cell r="J3" t="str">
            <v>sem 17</v>
          </cell>
          <cell r="K3" t="str">
            <v>sem 18 **</v>
          </cell>
          <cell r="L3" t="str">
            <v>sem 19 *</v>
          </cell>
          <cell r="M3" t="str">
            <v>sem 20</v>
          </cell>
          <cell r="N3" t="str">
            <v>sem 21</v>
          </cell>
          <cell r="O3" t="str">
            <v>sem 22 **</v>
          </cell>
          <cell r="P3" t="str">
            <v>sem 23</v>
          </cell>
        </row>
        <row r="11">
          <cell r="B11">
            <v>3443</v>
          </cell>
          <cell r="C11">
            <v>8415</v>
          </cell>
          <cell r="D11">
            <v>7440</v>
          </cell>
          <cell r="E11">
            <v>6541.5</v>
          </cell>
          <cell r="F11">
            <v>6395</v>
          </cell>
          <cell r="G11">
            <v>6821.5</v>
          </cell>
          <cell r="H11">
            <v>5292.5396825396829</v>
          </cell>
          <cell r="I11">
            <v>5261.2162162162167</v>
          </cell>
          <cell r="J11">
            <v>5011.8253968253966</v>
          </cell>
          <cell r="K11">
            <v>4326.6486486486483</v>
          </cell>
          <cell r="L11">
            <v>4132.333333333333</v>
          </cell>
          <cell r="M11">
            <v>6533.2432432432433</v>
          </cell>
          <cell r="N11">
            <v>6315.3174603174602</v>
          </cell>
          <cell r="O11">
            <v>5754.6756756756758</v>
          </cell>
          <cell r="P11">
            <v>6296.5873015873012</v>
          </cell>
        </row>
        <row r="36">
          <cell r="AX36" t="str">
            <v>Moyenne (sans 0)</v>
          </cell>
        </row>
        <row r="38">
          <cell r="A38" t="str">
            <v>Abbaretz</v>
          </cell>
          <cell r="AZ38">
            <v>365.00588343445492</v>
          </cell>
        </row>
        <row r="39">
          <cell r="A39" t="str">
            <v>Babinière</v>
          </cell>
          <cell r="AZ39">
            <v>405.72816694245273</v>
          </cell>
        </row>
        <row r="40">
          <cell r="A40" t="str">
            <v>Châteaubriant</v>
          </cell>
          <cell r="AZ40">
            <v>1550.3901299258446</v>
          </cell>
        </row>
        <row r="41">
          <cell r="A41" t="str">
            <v>Erdre Active</v>
          </cell>
          <cell r="AZ41">
            <v>668.49678249678243</v>
          </cell>
        </row>
        <row r="42">
          <cell r="A42" t="str">
            <v>Haluchère</v>
          </cell>
          <cell r="AZ42">
            <v>1083.9782358889502</v>
          </cell>
        </row>
        <row r="43">
          <cell r="A43" t="str">
            <v>Issé</v>
          </cell>
          <cell r="AZ43">
            <v>243.78044370901515</v>
          </cell>
        </row>
        <row r="44">
          <cell r="A44" t="str">
            <v>La Chapelle-Aulnay</v>
          </cell>
          <cell r="AZ44">
            <v>679.98832505975338</v>
          </cell>
        </row>
        <row r="45">
          <cell r="A45" t="str">
            <v>La Chapelle Centre</v>
          </cell>
          <cell r="AZ45">
            <v>982.95862444076727</v>
          </cell>
        </row>
        <row r="46">
          <cell r="A46" t="str">
            <v>Nantes</v>
          </cell>
          <cell r="AZ46">
            <v>4058.34264877122</v>
          </cell>
        </row>
        <row r="47">
          <cell r="A47" t="str">
            <v>Nort</v>
          </cell>
          <cell r="AZ47">
            <v>1207.9926074033215</v>
          </cell>
        </row>
        <row r="48">
          <cell r="A48" t="str">
            <v>Sucé</v>
          </cell>
          <cell r="AZ48">
            <v>767.86406814978238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65"/>
  <sheetViews>
    <sheetView tabSelected="1" workbookViewId="0">
      <selection activeCell="D13" sqref="D13"/>
    </sheetView>
  </sheetViews>
  <sheetFormatPr baseColWidth="10" defaultRowHeight="15" x14ac:dyDescent="0.25"/>
  <cols>
    <col min="1" max="1" width="18.140625" bestFit="1" customWidth="1"/>
    <col min="2" max="6" width="8.28515625" customWidth="1"/>
    <col min="7" max="7" width="9.28515625" customWidth="1"/>
    <col min="8" max="9" width="8.28515625" customWidth="1"/>
    <col min="10" max="13" width="9.28515625" customWidth="1"/>
    <col min="14" max="15" width="8.85546875" customWidth="1"/>
    <col min="16" max="16" width="9.28515625" customWidth="1"/>
    <col min="17" max="18" width="9.42578125" customWidth="1"/>
    <col min="19" max="19" width="9.28515625" customWidth="1"/>
    <col min="20" max="21" width="8.28515625" customWidth="1"/>
    <col min="22" max="22" width="9.28515625" customWidth="1"/>
    <col min="23" max="24" width="8.28515625" customWidth="1"/>
    <col min="25" max="25" width="9.28515625" customWidth="1"/>
    <col min="26" max="27" width="8.28515625" customWidth="1"/>
    <col min="28" max="28" width="9.28515625" customWidth="1"/>
    <col min="29" max="29" width="11.42578125" customWidth="1"/>
    <col min="30" max="30" width="8.28515625" customWidth="1"/>
    <col min="31" max="32" width="11.42578125" customWidth="1"/>
    <col min="33" max="33" width="8.28515625" customWidth="1"/>
    <col min="34" max="34" width="8.85546875" customWidth="1"/>
    <col min="35" max="36" width="8.28515625" customWidth="1"/>
    <col min="37" max="37" width="9.28515625" customWidth="1"/>
    <col min="38" max="39" width="8.28515625" customWidth="1"/>
    <col min="40" max="40" width="9.28515625" customWidth="1"/>
    <col min="41" max="42" width="8.28515625" customWidth="1"/>
    <col min="43" max="43" width="9.28515625" customWidth="1"/>
    <col min="44" max="45" width="8.28515625" bestFit="1" customWidth="1"/>
    <col min="46" max="48" width="9.28515625" bestFit="1" customWidth="1"/>
    <col min="49" max="49" width="10.28515625" bestFit="1" customWidth="1"/>
    <col min="50" max="51" width="8.28515625" bestFit="1" customWidth="1"/>
    <col min="52" max="52" width="9.28515625" bestFit="1" customWidth="1"/>
  </cols>
  <sheetData>
    <row r="2" spans="1:19" x14ac:dyDescent="0.25">
      <c r="A2" s="1" t="s">
        <v>0</v>
      </c>
      <c r="B2" s="2"/>
      <c r="C2" s="2"/>
      <c r="D2" s="2"/>
      <c r="E2" s="2"/>
      <c r="F2" s="2"/>
      <c r="G2" s="2"/>
      <c r="H2" s="2"/>
      <c r="I2" s="3"/>
      <c r="J2" s="3"/>
      <c r="K2" s="4"/>
      <c r="L2" s="4"/>
      <c r="M2" s="4"/>
      <c r="N2" s="4"/>
      <c r="O2" s="4"/>
      <c r="P2" s="4"/>
      <c r="Q2" s="4"/>
      <c r="R2" s="4"/>
    </row>
    <row r="3" spans="1:19" ht="10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6" t="s">
        <v>17</v>
      </c>
      <c r="R3" s="5" t="s">
        <v>18</v>
      </c>
    </row>
    <row r="4" spans="1:19" x14ac:dyDescent="0.25">
      <c r="A4" s="7" t="s">
        <v>19</v>
      </c>
      <c r="B4" s="8"/>
      <c r="C4" s="9">
        <v>1071</v>
      </c>
      <c r="D4" s="9">
        <v>1058</v>
      </c>
      <c r="E4" s="9">
        <v>1340</v>
      </c>
      <c r="F4" s="9">
        <v>1152.25</v>
      </c>
      <c r="G4" s="9">
        <v>1147</v>
      </c>
      <c r="H4" s="10">
        <v>942</v>
      </c>
      <c r="I4" s="10">
        <v>909</v>
      </c>
      <c r="J4" s="10">
        <v>883</v>
      </c>
      <c r="K4" s="10">
        <f>$J$5</f>
        <v>883</v>
      </c>
      <c r="L4" s="10">
        <v>775</v>
      </c>
      <c r="M4" s="10">
        <v>1098</v>
      </c>
      <c r="N4" s="10">
        <v>1111</v>
      </c>
      <c r="O4" s="10">
        <f>$N$5</f>
        <v>1111</v>
      </c>
      <c r="P4" s="10">
        <v>999</v>
      </c>
      <c r="Q4" s="8">
        <f>SUM(B4:P4)</f>
        <v>14479.25</v>
      </c>
      <c r="R4" s="11">
        <f>AVERAGE(C4:P4)</f>
        <v>1034.2321428571429</v>
      </c>
    </row>
    <row r="5" spans="1:19" x14ac:dyDescent="0.25">
      <c r="A5" s="7" t="s">
        <v>20</v>
      </c>
      <c r="B5" s="8"/>
      <c r="C5" s="9">
        <v>1099</v>
      </c>
      <c r="D5" s="9">
        <v>1081</v>
      </c>
      <c r="E5" s="9">
        <v>1115</v>
      </c>
      <c r="F5" s="9">
        <v>1008</v>
      </c>
      <c r="G5" s="9">
        <v>1490</v>
      </c>
      <c r="H5" s="9">
        <v>942</v>
      </c>
      <c r="I5" s="10">
        <v>909</v>
      </c>
      <c r="J5" s="9">
        <v>883</v>
      </c>
      <c r="K5" s="10">
        <f>$J$5</f>
        <v>883</v>
      </c>
      <c r="L5" s="9">
        <v>775</v>
      </c>
      <c r="M5" s="10">
        <v>1098</v>
      </c>
      <c r="N5" s="9">
        <v>1111</v>
      </c>
      <c r="O5" s="10">
        <f>$N$5</f>
        <v>1111</v>
      </c>
      <c r="P5" s="9">
        <v>999</v>
      </c>
      <c r="Q5" s="8">
        <f t="shared" ref="Q5:Q10" si="0">SUM(B5:P5)</f>
        <v>14504</v>
      </c>
      <c r="R5" s="11">
        <f t="shared" ref="R5:R8" si="1">AVERAGE(C5:P5)</f>
        <v>1036</v>
      </c>
      <c r="S5" s="12"/>
    </row>
    <row r="6" spans="1:19" x14ac:dyDescent="0.25">
      <c r="A6" s="7" t="s">
        <v>21</v>
      </c>
      <c r="B6" s="8"/>
      <c r="C6" s="9">
        <v>1218</v>
      </c>
      <c r="D6" s="9">
        <v>1140</v>
      </c>
      <c r="E6" s="9">
        <v>1084</v>
      </c>
      <c r="F6" s="9">
        <v>1064</v>
      </c>
      <c r="G6" s="9">
        <v>1103</v>
      </c>
      <c r="H6" s="10">
        <v>942</v>
      </c>
      <c r="I6" s="10">
        <v>909</v>
      </c>
      <c r="J6" s="10">
        <v>883</v>
      </c>
      <c r="K6" s="10">
        <f>$J$5</f>
        <v>883</v>
      </c>
      <c r="L6" s="10">
        <v>775</v>
      </c>
      <c r="M6" s="10">
        <v>1098</v>
      </c>
      <c r="N6" s="10">
        <v>1111</v>
      </c>
      <c r="O6" s="10">
        <f>$N$5</f>
        <v>1111</v>
      </c>
      <c r="P6" s="10">
        <v>999</v>
      </c>
      <c r="Q6" s="8">
        <f t="shared" si="0"/>
        <v>14320</v>
      </c>
      <c r="R6" s="11">
        <f t="shared" si="1"/>
        <v>1022.8571428571429</v>
      </c>
    </row>
    <row r="7" spans="1:19" x14ac:dyDescent="0.25">
      <c r="A7" s="7" t="s">
        <v>22</v>
      </c>
      <c r="B7" s="8"/>
      <c r="C7" s="9">
        <v>1314</v>
      </c>
      <c r="D7" s="9">
        <v>1219</v>
      </c>
      <c r="E7" s="9">
        <v>922</v>
      </c>
      <c r="F7" s="9">
        <v>1075</v>
      </c>
      <c r="G7" s="9">
        <v>1133.5</v>
      </c>
      <c r="H7" s="10">
        <v>942</v>
      </c>
      <c r="I7" s="9">
        <v>909</v>
      </c>
      <c r="J7" s="10">
        <v>883</v>
      </c>
      <c r="K7" s="13">
        <v>146</v>
      </c>
      <c r="L7" s="10">
        <f>L9</f>
        <v>399</v>
      </c>
      <c r="M7" s="9">
        <v>1098</v>
      </c>
      <c r="N7" s="10">
        <v>1111</v>
      </c>
      <c r="O7" s="13">
        <v>435</v>
      </c>
      <c r="P7" s="10">
        <v>999</v>
      </c>
      <c r="Q7" s="8">
        <f t="shared" si="0"/>
        <v>12585.5</v>
      </c>
      <c r="R7" s="11">
        <f t="shared" si="1"/>
        <v>898.96428571428567</v>
      </c>
    </row>
    <row r="8" spans="1:19" x14ac:dyDescent="0.25">
      <c r="A8" s="7" t="s">
        <v>23</v>
      </c>
      <c r="B8" s="9">
        <v>976</v>
      </c>
      <c r="C8" s="9">
        <v>1335</v>
      </c>
      <c r="D8" s="9">
        <v>1560</v>
      </c>
      <c r="E8" s="9">
        <v>986</v>
      </c>
      <c r="F8" s="9">
        <v>1149.75</v>
      </c>
      <c r="G8" s="9">
        <v>1094</v>
      </c>
      <c r="H8" s="10">
        <v>942</v>
      </c>
      <c r="I8" s="10">
        <v>909</v>
      </c>
      <c r="J8" s="10">
        <v>883</v>
      </c>
      <c r="K8" s="10">
        <f>$J$5</f>
        <v>883</v>
      </c>
      <c r="L8" s="10">
        <v>775</v>
      </c>
      <c r="M8" s="10">
        <v>1098</v>
      </c>
      <c r="N8" s="10">
        <v>1111</v>
      </c>
      <c r="O8" s="10">
        <f>$N$5</f>
        <v>1111</v>
      </c>
      <c r="P8" s="10">
        <v>999</v>
      </c>
      <c r="Q8" s="8">
        <f t="shared" si="0"/>
        <v>15811.75</v>
      </c>
      <c r="R8" s="11">
        <f t="shared" si="1"/>
        <v>1059.6964285714287</v>
      </c>
      <c r="S8" s="12"/>
    </row>
    <row r="9" spans="1:19" x14ac:dyDescent="0.25">
      <c r="A9" s="7" t="s">
        <v>24</v>
      </c>
      <c r="B9" s="9">
        <v>1121</v>
      </c>
      <c r="C9" s="9">
        <v>1101</v>
      </c>
      <c r="D9" s="9">
        <v>888</v>
      </c>
      <c r="E9" s="9">
        <v>676.5</v>
      </c>
      <c r="F9" s="9">
        <v>714</v>
      </c>
      <c r="G9" s="9">
        <v>422</v>
      </c>
      <c r="H9" s="9">
        <v>367</v>
      </c>
      <c r="I9" s="10">
        <f>I10/37*100*63/100</f>
        <v>451.21621621621625</v>
      </c>
      <c r="J9" s="9">
        <v>376</v>
      </c>
      <c r="K9" s="10">
        <f>K10/37*100*63/100</f>
        <v>408.64864864864865</v>
      </c>
      <c r="L9" s="9">
        <v>399</v>
      </c>
      <c r="M9" s="10">
        <f>M10/37*100*63/100</f>
        <v>657.24324324324323</v>
      </c>
      <c r="N9" s="9">
        <v>479</v>
      </c>
      <c r="O9" s="10">
        <f>O10/37*100*63/100</f>
        <v>551.67567567567562</v>
      </c>
      <c r="P9" s="9">
        <v>820</v>
      </c>
      <c r="Q9" s="8">
        <f t="shared" si="0"/>
        <v>9432.2837837837833</v>
      </c>
      <c r="R9" s="11">
        <f>AVERAGE(D9:P9)</f>
        <v>554.63721413721419</v>
      </c>
    </row>
    <row r="10" spans="1:19" x14ac:dyDescent="0.25">
      <c r="A10" s="7" t="s">
        <v>25</v>
      </c>
      <c r="B10" s="9">
        <v>1346</v>
      </c>
      <c r="C10" s="9">
        <v>1277</v>
      </c>
      <c r="D10" s="9">
        <v>494</v>
      </c>
      <c r="E10" s="9">
        <v>418</v>
      </c>
      <c r="F10" s="9">
        <v>232</v>
      </c>
      <c r="G10" s="9">
        <v>432</v>
      </c>
      <c r="H10" s="10">
        <f>H9/63*100*37/100</f>
        <v>215.53968253968253</v>
      </c>
      <c r="I10" s="9">
        <v>265</v>
      </c>
      <c r="J10" s="10">
        <f>J9/63*100*37/100</f>
        <v>220.82539682539687</v>
      </c>
      <c r="K10" s="9">
        <v>240</v>
      </c>
      <c r="L10" s="10">
        <f>L9/63*100*37/100</f>
        <v>234.33333333333331</v>
      </c>
      <c r="M10" s="9">
        <v>386</v>
      </c>
      <c r="N10" s="10">
        <f>N9/63*100*37/100</f>
        <v>281.3174603174603</v>
      </c>
      <c r="O10" s="9">
        <v>324</v>
      </c>
      <c r="P10" s="10">
        <f>P9/63*100*37/100</f>
        <v>481.58730158730162</v>
      </c>
      <c r="Q10" s="8">
        <f t="shared" si="0"/>
        <v>6847.603174603174</v>
      </c>
      <c r="R10" s="11">
        <f>AVERAGE(D10:P10)</f>
        <v>324.96947496947502</v>
      </c>
    </row>
    <row r="11" spans="1:19" x14ac:dyDescent="0.25">
      <c r="A11" s="14" t="s">
        <v>26</v>
      </c>
      <c r="B11" s="15">
        <v>3443</v>
      </c>
      <c r="C11" s="15">
        <v>8415</v>
      </c>
      <c r="D11" s="15">
        <v>7440</v>
      </c>
      <c r="E11" s="15">
        <v>6541.5</v>
      </c>
      <c r="F11" s="15">
        <v>6395</v>
      </c>
      <c r="G11" s="15">
        <v>6821.5</v>
      </c>
      <c r="H11" s="15">
        <f>SUM(H4:H10)</f>
        <v>5292.5396825396829</v>
      </c>
      <c r="I11" s="15">
        <f>SUM(I4:I10)</f>
        <v>5261.2162162162167</v>
      </c>
      <c r="J11" s="15">
        <f>SUM(J4:J10)</f>
        <v>5011.8253968253966</v>
      </c>
      <c r="K11" s="15">
        <f>SUM(K4:K10)</f>
        <v>4326.6486486486483</v>
      </c>
      <c r="L11" s="15">
        <f>SUM(L4:L10)</f>
        <v>4132.333333333333</v>
      </c>
      <c r="M11" s="15">
        <f t="shared" ref="M11:O11" si="2">SUM(M4:M10)</f>
        <v>6533.2432432432433</v>
      </c>
      <c r="N11" s="15">
        <f>SUM(N4:N10)</f>
        <v>6315.3174603174602</v>
      </c>
      <c r="O11" s="15">
        <f t="shared" si="2"/>
        <v>5754.6756756756758</v>
      </c>
      <c r="P11" s="15">
        <f>SUM(P4:P10)</f>
        <v>6296.5873015873012</v>
      </c>
      <c r="Q11" s="16">
        <f>SUM(B11:O11)</f>
        <v>81683.79965679966</v>
      </c>
      <c r="R11" s="17">
        <f>AVERAGE(C11:P11)</f>
        <v>6038.3847827419258</v>
      </c>
    </row>
    <row r="12" spans="1:19" x14ac:dyDescent="0.25">
      <c r="H12" s="18" t="s">
        <v>27</v>
      </c>
      <c r="I12" s="19"/>
      <c r="J12" s="19"/>
      <c r="K12" s="19"/>
      <c r="L12" s="19"/>
      <c r="M12" s="20"/>
      <c r="N12" s="20"/>
      <c r="O12" s="20"/>
      <c r="P12" s="20"/>
    </row>
    <row r="13" spans="1:19" x14ac:dyDescent="0.25">
      <c r="L13" s="21" t="s">
        <v>28</v>
      </c>
    </row>
    <row r="14" spans="1:19" x14ac:dyDescent="0.25">
      <c r="K14" s="22" t="s">
        <v>29</v>
      </c>
      <c r="N14" s="12"/>
      <c r="O14" s="12"/>
    </row>
    <row r="15" spans="1:19" x14ac:dyDescent="0.25">
      <c r="M15" s="12"/>
    </row>
    <row r="16" spans="1:19" x14ac:dyDescent="0.25">
      <c r="R16" s="12"/>
    </row>
    <row r="17" spans="18:18" x14ac:dyDescent="0.25">
      <c r="R17" s="12"/>
    </row>
    <row r="19" spans="18:18" x14ac:dyDescent="0.25">
      <c r="R19" s="12"/>
    </row>
    <row r="33" spans="1:52" x14ac:dyDescent="0.25">
      <c r="A33" s="23" t="s">
        <v>30</v>
      </c>
    </row>
    <row r="35" spans="1:52" x14ac:dyDescent="0.25">
      <c r="A35" s="1" t="s">
        <v>31</v>
      </c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x14ac:dyDescent="0.25">
      <c r="A36" s="5" t="s">
        <v>1</v>
      </c>
      <c r="B36" s="24" t="s">
        <v>2</v>
      </c>
      <c r="C36" s="25"/>
      <c r="D36" s="26"/>
      <c r="E36" s="24" t="s">
        <v>3</v>
      </c>
      <c r="F36" s="25"/>
      <c r="G36" s="26"/>
      <c r="H36" s="24" t="s">
        <v>4</v>
      </c>
      <c r="I36" s="25"/>
      <c r="J36" s="26"/>
      <c r="K36" s="24" t="s">
        <v>5</v>
      </c>
      <c r="L36" s="25"/>
      <c r="M36" s="26"/>
      <c r="N36" s="24" t="s">
        <v>6</v>
      </c>
      <c r="O36" s="25"/>
      <c r="P36" s="26"/>
      <c r="Q36" s="24" t="s">
        <v>7</v>
      </c>
      <c r="R36" s="25"/>
      <c r="S36" s="26"/>
      <c r="T36" s="24" t="s">
        <v>8</v>
      </c>
      <c r="U36" s="27"/>
      <c r="V36" s="28"/>
      <c r="W36" s="24" t="s">
        <v>9</v>
      </c>
      <c r="X36" s="25"/>
      <c r="Y36" s="26"/>
      <c r="Z36" s="24" t="s">
        <v>10</v>
      </c>
      <c r="AA36" s="25"/>
      <c r="AB36" s="26"/>
      <c r="AC36" s="24" t="s">
        <v>11</v>
      </c>
      <c r="AD36" s="25"/>
      <c r="AE36" s="26"/>
      <c r="AF36" s="24" t="s">
        <v>12</v>
      </c>
      <c r="AG36" s="25"/>
      <c r="AH36" s="26"/>
      <c r="AI36" s="24" t="s">
        <v>13</v>
      </c>
      <c r="AJ36" s="25"/>
      <c r="AK36" s="26"/>
      <c r="AL36" s="24" t="s">
        <v>14</v>
      </c>
      <c r="AM36" s="25"/>
      <c r="AN36" s="26"/>
      <c r="AO36" s="24" t="s">
        <v>15</v>
      </c>
      <c r="AP36" s="25"/>
      <c r="AQ36" s="26"/>
      <c r="AR36" s="24" t="s">
        <v>16</v>
      </c>
      <c r="AS36" s="25"/>
      <c r="AT36" s="26"/>
      <c r="AU36" s="24" t="s">
        <v>17</v>
      </c>
      <c r="AV36" s="25"/>
      <c r="AW36" s="26"/>
      <c r="AX36" s="24" t="s">
        <v>32</v>
      </c>
      <c r="AY36" s="25"/>
      <c r="AZ36" s="26"/>
    </row>
    <row r="37" spans="1:52" x14ac:dyDescent="0.25">
      <c r="A37" s="29"/>
      <c r="B37" s="5" t="s">
        <v>33</v>
      </c>
      <c r="C37" s="5" t="s">
        <v>34</v>
      </c>
      <c r="D37" s="5" t="s">
        <v>35</v>
      </c>
      <c r="E37" s="5" t="s">
        <v>33</v>
      </c>
      <c r="F37" s="5" t="s">
        <v>34</v>
      </c>
      <c r="G37" s="5" t="s">
        <v>35</v>
      </c>
      <c r="H37" s="5" t="s">
        <v>33</v>
      </c>
      <c r="I37" s="5" t="s">
        <v>34</v>
      </c>
      <c r="J37" s="5" t="s">
        <v>35</v>
      </c>
      <c r="K37" s="5" t="s">
        <v>33</v>
      </c>
      <c r="L37" s="5" t="s">
        <v>34</v>
      </c>
      <c r="M37" s="5" t="s">
        <v>35</v>
      </c>
      <c r="N37" s="5" t="s">
        <v>33</v>
      </c>
      <c r="O37" s="5" t="s">
        <v>34</v>
      </c>
      <c r="P37" s="5" t="s">
        <v>35</v>
      </c>
      <c r="Q37" s="5" t="s">
        <v>33</v>
      </c>
      <c r="R37" s="5" t="s">
        <v>34</v>
      </c>
      <c r="S37" s="5" t="s">
        <v>35</v>
      </c>
      <c r="T37" s="5" t="s">
        <v>33</v>
      </c>
      <c r="U37" s="5" t="s">
        <v>34</v>
      </c>
      <c r="V37" s="5" t="s">
        <v>35</v>
      </c>
      <c r="W37" s="5" t="s">
        <v>33</v>
      </c>
      <c r="X37" s="5" t="s">
        <v>34</v>
      </c>
      <c r="Y37" s="5" t="s">
        <v>35</v>
      </c>
      <c r="Z37" s="5" t="s">
        <v>33</v>
      </c>
      <c r="AA37" s="5" t="s">
        <v>34</v>
      </c>
      <c r="AB37" s="5" t="s">
        <v>35</v>
      </c>
      <c r="AC37" s="5" t="s">
        <v>33</v>
      </c>
      <c r="AD37" s="5" t="s">
        <v>34</v>
      </c>
      <c r="AE37" s="5" t="s">
        <v>35</v>
      </c>
      <c r="AF37" s="5" t="s">
        <v>33</v>
      </c>
      <c r="AG37" s="5" t="s">
        <v>34</v>
      </c>
      <c r="AH37" s="5" t="s">
        <v>35</v>
      </c>
      <c r="AI37" s="5" t="s">
        <v>33</v>
      </c>
      <c r="AJ37" s="5" t="s">
        <v>34</v>
      </c>
      <c r="AK37" s="5" t="s">
        <v>35</v>
      </c>
      <c r="AL37" s="5" t="s">
        <v>33</v>
      </c>
      <c r="AM37" s="5" t="s">
        <v>34</v>
      </c>
      <c r="AN37" s="5" t="s">
        <v>35</v>
      </c>
      <c r="AO37" s="5" t="s">
        <v>33</v>
      </c>
      <c r="AP37" s="5" t="s">
        <v>34</v>
      </c>
      <c r="AQ37" s="5" t="s">
        <v>35</v>
      </c>
      <c r="AR37" s="5" t="s">
        <v>33</v>
      </c>
      <c r="AS37" s="5" t="s">
        <v>34</v>
      </c>
      <c r="AT37" s="5" t="s">
        <v>35</v>
      </c>
      <c r="AU37" s="5" t="s">
        <v>33</v>
      </c>
      <c r="AV37" s="5" t="s">
        <v>34</v>
      </c>
      <c r="AW37" s="5" t="s">
        <v>35</v>
      </c>
      <c r="AX37" s="5" t="s">
        <v>33</v>
      </c>
      <c r="AY37" s="5" t="s">
        <v>34</v>
      </c>
      <c r="AZ37" s="5" t="s">
        <v>35</v>
      </c>
    </row>
    <row r="38" spans="1:52" x14ac:dyDescent="0.25">
      <c r="A38" s="30" t="s">
        <v>36</v>
      </c>
      <c r="B38" s="31">
        <v>123</v>
      </c>
      <c r="C38" s="31">
        <v>121</v>
      </c>
      <c r="D38" s="31">
        <f>B38+C38</f>
        <v>244</v>
      </c>
      <c r="E38" s="31">
        <v>300</v>
      </c>
      <c r="F38" s="31">
        <v>283</v>
      </c>
      <c r="G38" s="31">
        <f>E38+F38</f>
        <v>583</v>
      </c>
      <c r="H38" s="31">
        <v>223</v>
      </c>
      <c r="I38" s="31">
        <v>178</v>
      </c>
      <c r="J38" s="31">
        <f>H38+I38</f>
        <v>401</v>
      </c>
      <c r="K38" s="31">
        <v>222</v>
      </c>
      <c r="L38" s="31">
        <v>208</v>
      </c>
      <c r="M38" s="31">
        <f>K38+L38</f>
        <v>430</v>
      </c>
      <c r="N38" s="31">
        <v>205</v>
      </c>
      <c r="O38" s="31">
        <v>196</v>
      </c>
      <c r="P38" s="31">
        <f>N38+O38</f>
        <v>401</v>
      </c>
      <c r="Q38" s="31">
        <v>269</v>
      </c>
      <c r="R38" s="31">
        <v>246</v>
      </c>
      <c r="S38" s="31">
        <f>Q38+R38</f>
        <v>515</v>
      </c>
      <c r="T38" s="31">
        <f>24*5+24/63*100</f>
        <v>158.0952380952381</v>
      </c>
      <c r="U38" s="31">
        <f>22*5+19/63*100</f>
        <v>140.15873015873015</v>
      </c>
      <c r="V38" s="32">
        <f>T38+U38</f>
        <v>298.25396825396825</v>
      </c>
      <c r="W38" s="31">
        <f>34*5+12/37*100</f>
        <v>202.43243243243245</v>
      </c>
      <c r="X38" s="31">
        <f>25*5+18/37*100</f>
        <v>173.64864864864865</v>
      </c>
      <c r="Y38" s="32">
        <f>W38+X38</f>
        <v>376.08108108108109</v>
      </c>
      <c r="Z38" s="31">
        <f>38*5+7/63*100</f>
        <v>201.11111111111111</v>
      </c>
      <c r="AA38" s="31">
        <f>20*5+14/63*100</f>
        <v>122.22222222222223</v>
      </c>
      <c r="AB38" s="32">
        <f>Z38+AA38</f>
        <v>323.33333333333337</v>
      </c>
      <c r="AC38" s="33">
        <f>9+6/37*100+38*4</f>
        <v>177.21621621621622</v>
      </c>
      <c r="AD38" s="33">
        <f>9+2/37*100+20*4</f>
        <v>94.405405405405403</v>
      </c>
      <c r="AE38" s="34">
        <f>AC38+AD38</f>
        <v>271.62162162162161</v>
      </c>
      <c r="AF38" s="31">
        <f>20*4+9/63*100+9</f>
        <v>103.28571428571428</v>
      </c>
      <c r="AG38" s="31">
        <f>4*4+12/63*100+12</f>
        <v>47.047619047619051</v>
      </c>
      <c r="AH38" s="32">
        <f>AF38+AG38</f>
        <v>150.33333333333331</v>
      </c>
      <c r="AI38" s="31">
        <f>32*5+7/37*100</f>
        <v>178.91891891891891</v>
      </c>
      <c r="AJ38" s="31">
        <f>27*5+5/37*100</f>
        <v>148.51351351351352</v>
      </c>
      <c r="AK38" s="32">
        <f>AI38+AJ38</f>
        <v>327.43243243243239</v>
      </c>
      <c r="AL38" s="31">
        <f>40*5+10/63*100</f>
        <v>215.87301587301587</v>
      </c>
      <c r="AM38" s="31">
        <f>29*5+6/63*100</f>
        <v>154.52380952380952</v>
      </c>
      <c r="AN38" s="32">
        <f>AL38+AM38</f>
        <v>370.39682539682542</v>
      </c>
      <c r="AO38" s="33">
        <f>7+13/37*100+40*4</f>
        <v>202.13513513513513</v>
      </c>
      <c r="AP38" s="33">
        <f>7+8/37*100+29*4</f>
        <v>144.62162162162161</v>
      </c>
      <c r="AQ38" s="34">
        <f t="shared" ref="AQ38:AQ48" si="3">AO38+AP38</f>
        <v>346.75675675675677</v>
      </c>
      <c r="AR38" s="31">
        <f>35*5+4/63*100</f>
        <v>181.34920634920636</v>
      </c>
      <c r="AS38" s="31">
        <f>25*5+6/63*100</f>
        <v>134.52380952380952</v>
      </c>
      <c r="AT38" s="32">
        <f>AR38+AS38</f>
        <v>315.8730158730159</v>
      </c>
      <c r="AU38" s="31">
        <f>SUM(B38,E38,H38,K38,N38,Q38,T38,W38,Z38,AC38,AF38,AI38,AL38,AO38,AR38)</f>
        <v>2962.4169884169878</v>
      </c>
      <c r="AV38" s="31">
        <f t="shared" ref="AV38:AW49" si="4">SUM(C38,F38,I38,L38,O38,R38,U38,X38,AA38,AD38,AG38,AJ38,AM38,AP38,AS38)</f>
        <v>2391.66537966538</v>
      </c>
      <c r="AW38" s="31">
        <f t="shared" si="4"/>
        <v>5354.0823680823678</v>
      </c>
      <c r="AX38" s="35">
        <f>AVERAGE(E38,H38,K38,N38,Q38,T38,W38,Z38,AC38,AF38,AI38,AL38,AO38,AR38)</f>
        <v>202.81549917264201</v>
      </c>
      <c r="AY38" s="35">
        <f t="shared" ref="AY38:AZ49" si="5">AVERAGE(F38,I38,L38,O38,R38,U38,X38,AA38,AD38,AG38,AJ38,AM38,AP38,AS38)</f>
        <v>162.19038426181285</v>
      </c>
      <c r="AZ38" s="35">
        <f t="shared" si="5"/>
        <v>365.00588343445492</v>
      </c>
    </row>
    <row r="39" spans="1:52" x14ac:dyDescent="0.25">
      <c r="A39" s="36" t="s">
        <v>37</v>
      </c>
      <c r="B39" s="31">
        <v>67</v>
      </c>
      <c r="C39" s="31">
        <v>79</v>
      </c>
      <c r="D39" s="31">
        <f t="shared" ref="D39:D48" si="6">B39+C39</f>
        <v>146</v>
      </c>
      <c r="E39" s="31">
        <v>334</v>
      </c>
      <c r="F39" s="31">
        <v>267</v>
      </c>
      <c r="G39" s="31">
        <f t="shared" ref="G39:G48" si="7">E39+F39</f>
        <v>601</v>
      </c>
      <c r="H39" s="31">
        <v>276</v>
      </c>
      <c r="I39" s="31">
        <v>243</v>
      </c>
      <c r="J39" s="31">
        <f t="shared" ref="J39:J48" si="8">H39+I39</f>
        <v>519</v>
      </c>
      <c r="K39" s="31">
        <v>236</v>
      </c>
      <c r="L39" s="31">
        <v>217</v>
      </c>
      <c r="M39" s="31">
        <f t="shared" ref="M39:M48" si="9">K39+L39</f>
        <v>453</v>
      </c>
      <c r="N39" s="31">
        <v>268</v>
      </c>
      <c r="O39" s="31">
        <v>186</v>
      </c>
      <c r="P39" s="31">
        <f t="shared" ref="P39:P48" si="10">N39+O39</f>
        <v>454</v>
      </c>
      <c r="Q39" s="31">
        <v>273</v>
      </c>
      <c r="R39" s="31">
        <v>231</v>
      </c>
      <c r="S39" s="31">
        <f t="shared" ref="S39:S48" si="11">Q39+R39</f>
        <v>504</v>
      </c>
      <c r="T39" s="31">
        <f>41*5+7/63*100</f>
        <v>216.11111111111111</v>
      </c>
      <c r="U39" s="31">
        <f>33*5+4/63*100</f>
        <v>171.34920634920636</v>
      </c>
      <c r="V39" s="32">
        <f t="shared" ref="V39:V48" si="12">T39+U39</f>
        <v>387.46031746031747</v>
      </c>
      <c r="W39" s="31">
        <f>23*5+0</f>
        <v>115</v>
      </c>
      <c r="X39" s="31">
        <f>38*5+0</f>
        <v>190</v>
      </c>
      <c r="Y39" s="32">
        <f t="shared" ref="Y39:Y48" si="13">W39+X39</f>
        <v>305</v>
      </c>
      <c r="Z39" s="31">
        <f>33*5+8/63*100</f>
        <v>177.69841269841271</v>
      </c>
      <c r="AA39" s="31">
        <f>37*5+3/63*100</f>
        <v>189.76190476190476</v>
      </c>
      <c r="AB39" s="32">
        <f t="shared" ref="AB39:AB48" si="14">Z39+AA39</f>
        <v>367.46031746031747</v>
      </c>
      <c r="AC39" s="33">
        <f>0+3/37*100+33*4</f>
        <v>140.1081081081081</v>
      </c>
      <c r="AD39" s="33">
        <f>2+0+37*4</f>
        <v>150</v>
      </c>
      <c r="AE39" s="34">
        <f t="shared" ref="AE39:AE48" si="15">AC39+AD39</f>
        <v>290.10810810810813</v>
      </c>
      <c r="AF39" s="31">
        <f>29*4+1/63*100+1</f>
        <v>118.58730158730158</v>
      </c>
      <c r="AG39" s="31">
        <f>32*4+9/63*100+9</f>
        <v>151.28571428571428</v>
      </c>
      <c r="AH39" s="32">
        <f t="shared" ref="AH39:AH48" si="16">AF39+AG39</f>
        <v>269.87301587301585</v>
      </c>
      <c r="AI39" s="31">
        <f>35*5+5/37*100</f>
        <v>188.51351351351352</v>
      </c>
      <c r="AJ39" s="31">
        <f>35*5+9/37*100</f>
        <v>199.32432432432432</v>
      </c>
      <c r="AK39" s="32">
        <f t="shared" ref="AK39:AK48" si="17">AI39+AJ39</f>
        <v>387.83783783783781</v>
      </c>
      <c r="AL39" s="31">
        <f>29*5+8/63*100</f>
        <v>157.69841269841271</v>
      </c>
      <c r="AM39" s="31">
        <f>40*5+4/63*100</f>
        <v>206.34920634920636</v>
      </c>
      <c r="AN39" s="32">
        <f t="shared" ref="AN39:AN48" si="18">AL39+AM39</f>
        <v>364.04761904761904</v>
      </c>
      <c r="AO39" s="33">
        <f>7+5/37*100+29*4</f>
        <v>136.51351351351352</v>
      </c>
      <c r="AP39" s="33">
        <f>8+27/37*100+40*4</f>
        <v>240.97297297297297</v>
      </c>
      <c r="AQ39" s="34">
        <f t="shared" si="3"/>
        <v>377.48648648648646</v>
      </c>
      <c r="AR39" s="31">
        <f>31*5+14/63*100</f>
        <v>177.22222222222223</v>
      </c>
      <c r="AS39" s="31">
        <f>42*5+8/63*100</f>
        <v>222.69841269841271</v>
      </c>
      <c r="AT39" s="32">
        <f t="shared" ref="AT39:AT48" si="19">AR39+AS39</f>
        <v>399.92063492063494</v>
      </c>
      <c r="AU39" s="31">
        <f t="shared" ref="AU39:AU48" si="20">SUM(B39,E39,H39,K39,N39,Q39,T39,W39,Z39,AC39,AF39,AI39,AL39,AO39,AR39)</f>
        <v>2881.4525954525948</v>
      </c>
      <c r="AV39" s="31">
        <f t="shared" si="4"/>
        <v>2944.7417417417414</v>
      </c>
      <c r="AW39" s="31">
        <f t="shared" si="4"/>
        <v>5826.194337194338</v>
      </c>
      <c r="AX39" s="35">
        <f t="shared" ref="AX39:AX49" si="21">AVERAGE(E39,H39,K39,N39,Q39,T39,W39,Z39,AC39,AF39,AI39,AL39,AO39,AR39)</f>
        <v>201.0323282466139</v>
      </c>
      <c r="AY39" s="35">
        <f t="shared" si="5"/>
        <v>204.69583869583866</v>
      </c>
      <c r="AZ39" s="35">
        <f t="shared" si="5"/>
        <v>405.72816694245273</v>
      </c>
    </row>
    <row r="40" spans="1:52" x14ac:dyDescent="0.25">
      <c r="A40" s="36" t="s">
        <v>38</v>
      </c>
      <c r="B40" s="31">
        <v>1290</v>
      </c>
      <c r="C40" s="31">
        <v>1012</v>
      </c>
      <c r="D40" s="31">
        <f t="shared" si="6"/>
        <v>2302</v>
      </c>
      <c r="E40" s="31">
        <v>1342</v>
      </c>
      <c r="F40" s="31">
        <v>1936</v>
      </c>
      <c r="G40" s="31">
        <f t="shared" si="7"/>
        <v>3278</v>
      </c>
      <c r="H40" s="31">
        <v>1152</v>
      </c>
      <c r="I40" s="31">
        <v>1714</v>
      </c>
      <c r="J40" s="31">
        <f t="shared" si="8"/>
        <v>2866</v>
      </c>
      <c r="K40" s="31">
        <v>997</v>
      </c>
      <c r="L40" s="31">
        <v>1375</v>
      </c>
      <c r="M40" s="31">
        <f t="shared" si="9"/>
        <v>2372</v>
      </c>
      <c r="N40" s="31">
        <v>876.25</v>
      </c>
      <c r="O40" s="31">
        <v>950</v>
      </c>
      <c r="P40" s="31">
        <f t="shared" si="10"/>
        <v>1826.25</v>
      </c>
      <c r="Q40" s="31">
        <v>827.25</v>
      </c>
      <c r="R40" s="31">
        <v>1282</v>
      </c>
      <c r="S40" s="31">
        <f t="shared" si="11"/>
        <v>2109.25</v>
      </c>
      <c r="T40" s="31">
        <f>78*5+48/63*100</f>
        <v>466.1904761904762</v>
      </c>
      <c r="U40" s="31">
        <f>93*5+44/63*100</f>
        <v>534.84126984126988</v>
      </c>
      <c r="V40" s="32">
        <f t="shared" si="12"/>
        <v>1001.031746031746</v>
      </c>
      <c r="W40" s="31">
        <f>113*5+39/37*100</f>
        <v>670.40540540540542</v>
      </c>
      <c r="X40" s="31">
        <f>135*5+47/37*100</f>
        <v>802.02702702702697</v>
      </c>
      <c r="Y40" s="32">
        <f t="shared" si="13"/>
        <v>1472.4324324324325</v>
      </c>
      <c r="Z40" s="31">
        <f>114*5+41/63*100</f>
        <v>635.07936507936506</v>
      </c>
      <c r="AA40" s="31">
        <f>73*5+70/63*100</f>
        <v>476.11111111111109</v>
      </c>
      <c r="AB40" s="32">
        <f t="shared" si="14"/>
        <v>1111.1904761904761</v>
      </c>
      <c r="AC40" s="33">
        <f>28+60/37*100+114*4</f>
        <v>646.16216216216219</v>
      </c>
      <c r="AD40" s="33">
        <f>34+53/37*100+73*4</f>
        <v>469.24324324324323</v>
      </c>
      <c r="AE40" s="34">
        <f t="shared" si="15"/>
        <v>1115.4054054054054</v>
      </c>
      <c r="AF40" s="31">
        <f>37*4+43/63*100+43</f>
        <v>259.25396825396825</v>
      </c>
      <c r="AG40" s="31">
        <f>58*4+57/63*100+57</f>
        <v>379.47619047619048</v>
      </c>
      <c r="AH40" s="32">
        <f t="shared" si="16"/>
        <v>638.73015873015879</v>
      </c>
      <c r="AI40" s="31">
        <f>86*5+66/37*100</f>
        <v>608.37837837837833</v>
      </c>
      <c r="AJ40" s="31">
        <f>64*5+93/37*100</f>
        <v>571.35135135135135</v>
      </c>
      <c r="AK40" s="32">
        <f t="shared" si="17"/>
        <v>1179.7297297297296</v>
      </c>
      <c r="AL40" s="31">
        <f>97*5+39/63*100</f>
        <v>546.90476190476193</v>
      </c>
      <c r="AM40" s="31">
        <f>54*5+27/63*100</f>
        <v>312.85714285714283</v>
      </c>
      <c r="AN40" s="32">
        <f t="shared" si="18"/>
        <v>859.76190476190482</v>
      </c>
      <c r="AO40" s="33">
        <f>26+50/37*100+97*4</f>
        <v>549.1351351351351</v>
      </c>
      <c r="AP40" s="33">
        <f>30+53/37*100+54*4</f>
        <v>389.24324324324323</v>
      </c>
      <c r="AQ40" s="34">
        <f t="shared" si="3"/>
        <v>938.37837837837833</v>
      </c>
      <c r="AR40" s="31">
        <f>88*5+45/63*100</f>
        <v>511.42857142857144</v>
      </c>
      <c r="AS40" s="31">
        <f>62*5+73/63*100</f>
        <v>425.8730158730159</v>
      </c>
      <c r="AT40" s="32">
        <f t="shared" si="19"/>
        <v>937.30158730158735</v>
      </c>
      <c r="AU40" s="31">
        <f t="shared" si="20"/>
        <v>11377.438223938223</v>
      </c>
      <c r="AV40" s="31">
        <f t="shared" si="4"/>
        <v>12630.023595023596</v>
      </c>
      <c r="AW40" s="31">
        <f t="shared" si="4"/>
        <v>24007.461818961823</v>
      </c>
      <c r="AX40" s="35">
        <f t="shared" si="21"/>
        <v>720.53130170987311</v>
      </c>
      <c r="AY40" s="35">
        <f t="shared" si="5"/>
        <v>829.85882821597113</v>
      </c>
      <c r="AZ40" s="35">
        <f t="shared" si="5"/>
        <v>1550.3901299258446</v>
      </c>
    </row>
    <row r="41" spans="1:52" x14ac:dyDescent="0.25">
      <c r="A41" s="36" t="s">
        <v>39</v>
      </c>
      <c r="B41" s="31">
        <v>58</v>
      </c>
      <c r="C41" s="31">
        <v>64</v>
      </c>
      <c r="D41" s="31">
        <f t="shared" si="6"/>
        <v>122</v>
      </c>
      <c r="E41" s="31">
        <v>333</v>
      </c>
      <c r="F41" s="31">
        <v>215</v>
      </c>
      <c r="G41" s="31">
        <f t="shared" si="7"/>
        <v>548</v>
      </c>
      <c r="H41" s="31">
        <v>354</v>
      </c>
      <c r="I41" s="31">
        <v>254</v>
      </c>
      <c r="J41" s="31">
        <f t="shared" si="8"/>
        <v>608</v>
      </c>
      <c r="K41" s="31">
        <v>377</v>
      </c>
      <c r="L41" s="31">
        <v>363</v>
      </c>
      <c r="M41" s="31">
        <f t="shared" si="9"/>
        <v>740</v>
      </c>
      <c r="N41" s="31">
        <v>392</v>
      </c>
      <c r="O41" s="31">
        <v>358</v>
      </c>
      <c r="P41" s="31">
        <f t="shared" si="10"/>
        <v>750</v>
      </c>
      <c r="Q41" s="31">
        <v>435</v>
      </c>
      <c r="R41" s="31">
        <v>332</v>
      </c>
      <c r="S41" s="31">
        <f t="shared" si="11"/>
        <v>767</v>
      </c>
      <c r="T41" s="31">
        <f>66*5+18/63*100</f>
        <v>358.57142857142856</v>
      </c>
      <c r="U41" s="31">
        <f>54*5+18/63*100</f>
        <v>298.57142857142856</v>
      </c>
      <c r="V41" s="32">
        <f t="shared" si="12"/>
        <v>657.14285714285711</v>
      </c>
      <c r="W41" s="31">
        <f>46*5+10/37*100</f>
        <v>257.02702702702703</v>
      </c>
      <c r="X41" s="31">
        <f>40*5+12/37*100</f>
        <v>232.43243243243245</v>
      </c>
      <c r="Y41" s="32">
        <f t="shared" si="13"/>
        <v>489.45945945945948</v>
      </c>
      <c r="Z41" s="31">
        <f>49*5+13/63*100</f>
        <v>265.6349206349206</v>
      </c>
      <c r="AA41" s="31">
        <f>55*5+8/63*100</f>
        <v>287.69841269841271</v>
      </c>
      <c r="AB41" s="32">
        <f t="shared" si="14"/>
        <v>553.33333333333326</v>
      </c>
      <c r="AC41" s="33">
        <f>4+8/37*100+49*4</f>
        <v>221.62162162162161</v>
      </c>
      <c r="AD41" s="33">
        <f>2+6/37*100+55*4</f>
        <v>238.21621621621622</v>
      </c>
      <c r="AE41" s="34">
        <f t="shared" si="15"/>
        <v>459.83783783783781</v>
      </c>
      <c r="AF41" s="31">
        <f>52*4+11/63*100+11</f>
        <v>236.46031746031747</v>
      </c>
      <c r="AG41" s="31">
        <f>39*4+13/63*100+13</f>
        <v>189.63492063492063</v>
      </c>
      <c r="AH41" s="32">
        <f t="shared" si="16"/>
        <v>426.09523809523807</v>
      </c>
      <c r="AI41" s="31">
        <f>100*5+10/37*100</f>
        <v>527.02702702702697</v>
      </c>
      <c r="AJ41" s="31">
        <f>66*5+5/37*100</f>
        <v>343.51351351351349</v>
      </c>
      <c r="AK41" s="32">
        <f t="shared" si="17"/>
        <v>870.54054054054041</v>
      </c>
      <c r="AL41" s="31">
        <f>77*5+28/63*100</f>
        <v>429.44444444444446</v>
      </c>
      <c r="AM41" s="31">
        <f>80*5+17/63*100</f>
        <v>426.98412698412699</v>
      </c>
      <c r="AN41" s="32">
        <f t="shared" si="18"/>
        <v>856.42857142857144</v>
      </c>
      <c r="AO41" s="33">
        <f>28+18/37*100+77*4</f>
        <v>384.64864864864865</v>
      </c>
      <c r="AP41" s="33">
        <f>20+13/37*100+80*4</f>
        <v>375.13513513513516</v>
      </c>
      <c r="AQ41" s="34">
        <f t="shared" si="3"/>
        <v>759.78378378378375</v>
      </c>
      <c r="AR41" s="31">
        <f>81*5+50/63*100</f>
        <v>484.3650793650794</v>
      </c>
      <c r="AS41" s="31">
        <f>67*5+34/63*100</f>
        <v>388.96825396825398</v>
      </c>
      <c r="AT41" s="32">
        <f t="shared" si="19"/>
        <v>873.33333333333337</v>
      </c>
      <c r="AU41" s="31">
        <f t="shared" si="20"/>
        <v>5113.800514800515</v>
      </c>
      <c r="AV41" s="31">
        <f t="shared" si="4"/>
        <v>4367.1544401544397</v>
      </c>
      <c r="AW41" s="31">
        <f t="shared" si="4"/>
        <v>9480.9549549549538</v>
      </c>
      <c r="AX41" s="35">
        <f t="shared" si="21"/>
        <v>361.12860820003681</v>
      </c>
      <c r="AY41" s="35">
        <f t="shared" si="5"/>
        <v>307.36817429674568</v>
      </c>
      <c r="AZ41" s="35">
        <f t="shared" si="5"/>
        <v>668.49678249678243</v>
      </c>
    </row>
    <row r="42" spans="1:52" x14ac:dyDescent="0.25">
      <c r="A42" s="36" t="s">
        <v>40</v>
      </c>
      <c r="B42" s="31">
        <v>334</v>
      </c>
      <c r="C42" s="31">
        <v>415</v>
      </c>
      <c r="D42" s="31">
        <f t="shared" si="6"/>
        <v>749</v>
      </c>
      <c r="E42" s="31">
        <v>690</v>
      </c>
      <c r="F42" s="31">
        <v>665</v>
      </c>
      <c r="G42" s="31">
        <f t="shared" si="7"/>
        <v>1355</v>
      </c>
      <c r="H42" s="31">
        <v>702</v>
      </c>
      <c r="I42" s="31">
        <v>675</v>
      </c>
      <c r="J42" s="31">
        <f t="shared" si="8"/>
        <v>1377</v>
      </c>
      <c r="K42" s="31">
        <v>606.25</v>
      </c>
      <c r="L42" s="31">
        <v>557</v>
      </c>
      <c r="M42" s="31">
        <f t="shared" si="9"/>
        <v>1163.25</v>
      </c>
      <c r="N42" s="31">
        <v>592</v>
      </c>
      <c r="O42" s="31">
        <v>628</v>
      </c>
      <c r="P42" s="31">
        <f t="shared" si="10"/>
        <v>1220</v>
      </c>
      <c r="Q42" s="31">
        <v>667</v>
      </c>
      <c r="R42" s="31">
        <v>560</v>
      </c>
      <c r="S42" s="31">
        <f t="shared" si="11"/>
        <v>1227</v>
      </c>
      <c r="T42" s="31">
        <f>55*5+18/63*100</f>
        <v>303.57142857142856</v>
      </c>
      <c r="U42" s="31">
        <f>99*5+40/63*100</f>
        <v>558.49206349206349</v>
      </c>
      <c r="V42" s="32">
        <f t="shared" si="12"/>
        <v>862.06349206349205</v>
      </c>
      <c r="W42" s="31">
        <f>85*5+27/37*100</f>
        <v>497.97297297297297</v>
      </c>
      <c r="X42" s="31">
        <f>102*5+21/37*100</f>
        <v>566.75675675675677</v>
      </c>
      <c r="Y42" s="32">
        <f t="shared" si="13"/>
        <v>1064.7297297297298</v>
      </c>
      <c r="Z42" s="31">
        <f>52*5+46/63*100</f>
        <v>333.01587301587301</v>
      </c>
      <c r="AA42" s="31">
        <f>74*5+34/63*100</f>
        <v>423.96825396825398</v>
      </c>
      <c r="AB42" s="32">
        <f t="shared" si="14"/>
        <v>756.98412698412699</v>
      </c>
      <c r="AC42" s="33">
        <f>9+14/37*100+52*4</f>
        <v>254.83783783783784</v>
      </c>
      <c r="AD42" s="33">
        <f>26+13/37*100+74*4</f>
        <v>357.13513513513516</v>
      </c>
      <c r="AE42" s="34">
        <f t="shared" si="15"/>
        <v>611.97297297297303</v>
      </c>
      <c r="AF42" s="31">
        <f>42*4+83/63*100+83</f>
        <v>382.74603174603175</v>
      </c>
      <c r="AG42" s="31">
        <f>68*4+55/63*100+55</f>
        <v>414.30158730158729</v>
      </c>
      <c r="AH42" s="32">
        <f t="shared" si="16"/>
        <v>797.04761904761904</v>
      </c>
      <c r="AI42" s="31">
        <f>97*5+27/37*100</f>
        <v>557.97297297297291</v>
      </c>
      <c r="AJ42" s="31">
        <f>102*5+41/37*100</f>
        <v>620.81081081081084</v>
      </c>
      <c r="AK42" s="32">
        <f t="shared" si="17"/>
        <v>1178.7837837837837</v>
      </c>
      <c r="AL42" s="31">
        <f>102*5+60/63*100</f>
        <v>605.23809523809518</v>
      </c>
      <c r="AM42" s="31">
        <f>97*5+48/63*100</f>
        <v>561.19047619047615</v>
      </c>
      <c r="AN42" s="32">
        <f t="shared" si="18"/>
        <v>1166.4285714285713</v>
      </c>
      <c r="AO42" s="33">
        <f>59+20/37*100+102*4</f>
        <v>521.05405405405406</v>
      </c>
      <c r="AP42" s="33">
        <f>34+37/37*100+97*4</f>
        <v>522</v>
      </c>
      <c r="AQ42" s="34">
        <f t="shared" si="3"/>
        <v>1043.0540540540542</v>
      </c>
      <c r="AR42" s="31">
        <f>101*5+61/63*100</f>
        <v>601.82539682539687</v>
      </c>
      <c r="AS42" s="31">
        <f>139*5+35/63*100</f>
        <v>750.55555555555554</v>
      </c>
      <c r="AT42" s="32">
        <f t="shared" si="19"/>
        <v>1352.3809523809523</v>
      </c>
      <c r="AU42" s="31">
        <f t="shared" si="20"/>
        <v>7649.4846632346635</v>
      </c>
      <c r="AV42" s="31">
        <f t="shared" si="4"/>
        <v>8275.2106392106398</v>
      </c>
      <c r="AW42" s="31">
        <f t="shared" si="4"/>
        <v>15924.695302445301</v>
      </c>
      <c r="AX42" s="35">
        <f t="shared" si="21"/>
        <v>522.53461880247596</v>
      </c>
      <c r="AY42" s="35">
        <f t="shared" si="5"/>
        <v>561.44361708647432</v>
      </c>
      <c r="AZ42" s="35">
        <f t="shared" si="5"/>
        <v>1083.9782358889502</v>
      </c>
    </row>
    <row r="43" spans="1:52" x14ac:dyDescent="0.25">
      <c r="A43" s="36" t="s">
        <v>41</v>
      </c>
      <c r="B43" s="31">
        <v>69</v>
      </c>
      <c r="C43" s="31">
        <v>82</v>
      </c>
      <c r="D43" s="31">
        <f t="shared" si="6"/>
        <v>151</v>
      </c>
      <c r="E43" s="31">
        <v>209</v>
      </c>
      <c r="F43" s="31">
        <v>286</v>
      </c>
      <c r="G43" s="31">
        <f t="shared" si="7"/>
        <v>495</v>
      </c>
      <c r="H43" s="31">
        <v>212</v>
      </c>
      <c r="I43" s="31">
        <v>167</v>
      </c>
      <c r="J43" s="31">
        <f t="shared" si="8"/>
        <v>379</v>
      </c>
      <c r="K43" s="31">
        <v>258</v>
      </c>
      <c r="L43" s="31">
        <v>196</v>
      </c>
      <c r="M43" s="31">
        <f t="shared" si="9"/>
        <v>454</v>
      </c>
      <c r="N43" s="31">
        <v>139</v>
      </c>
      <c r="O43" s="31">
        <v>128</v>
      </c>
      <c r="P43" s="31">
        <f t="shared" si="10"/>
        <v>267</v>
      </c>
      <c r="Q43" s="31">
        <v>235</v>
      </c>
      <c r="R43" s="31">
        <v>167</v>
      </c>
      <c r="S43" s="31">
        <f t="shared" si="11"/>
        <v>402</v>
      </c>
      <c r="T43" s="31">
        <f>19*5+19/63*100</f>
        <v>125.15873015873015</v>
      </c>
      <c r="U43" s="31">
        <f>11*5+6/63*100</f>
        <v>64.523809523809518</v>
      </c>
      <c r="V43" s="32">
        <f t="shared" si="12"/>
        <v>189.68253968253967</v>
      </c>
      <c r="W43" s="31">
        <f>16*5+7/37*100</f>
        <v>98.918918918918919</v>
      </c>
      <c r="X43" s="31">
        <f>13*5+5/37*100</f>
        <v>78.513513513513516</v>
      </c>
      <c r="Y43" s="32">
        <f t="shared" si="13"/>
        <v>177.43243243243245</v>
      </c>
      <c r="Z43" s="31">
        <f>16*5+8/63*100</f>
        <v>92.698412698412696</v>
      </c>
      <c r="AA43" s="31">
        <f>12*5+6/63*100</f>
        <v>69.523809523809518</v>
      </c>
      <c r="AB43" s="32">
        <f t="shared" si="14"/>
        <v>162.22222222222223</v>
      </c>
      <c r="AC43" s="33">
        <f>2+9/37*100+16*4</f>
        <v>90.324324324324323</v>
      </c>
      <c r="AD43" s="33">
        <f>1+5/37*100+12*4</f>
        <v>62.513513513513516</v>
      </c>
      <c r="AE43" s="34">
        <f t="shared" si="15"/>
        <v>152.83783783783784</v>
      </c>
      <c r="AF43" s="31">
        <f>11*4+4/63*100+4</f>
        <v>54.349206349206348</v>
      </c>
      <c r="AG43" s="31">
        <f>0*4+8/63*100+8</f>
        <v>20.698412698412696</v>
      </c>
      <c r="AH43" s="32">
        <f t="shared" si="16"/>
        <v>75.047619047619037</v>
      </c>
      <c r="AI43" s="31">
        <f>19*5+8/37*100</f>
        <v>116.62162162162161</v>
      </c>
      <c r="AJ43" s="31">
        <f>12*5+1/37*100</f>
        <v>62.702702702702702</v>
      </c>
      <c r="AK43" s="32">
        <f t="shared" si="17"/>
        <v>179.32432432432432</v>
      </c>
      <c r="AL43" s="31">
        <f>17*5+0</f>
        <v>85</v>
      </c>
      <c r="AM43" s="31">
        <f>19*5+2/63*100</f>
        <v>98.174603174603178</v>
      </c>
      <c r="AN43" s="32">
        <f t="shared" si="18"/>
        <v>183.17460317460319</v>
      </c>
      <c r="AO43" s="33">
        <f>6+5/37*100+17*4</f>
        <v>87.513513513513516</v>
      </c>
      <c r="AP43" s="33">
        <f>3+2/37*100+19*4</f>
        <v>84.405405405405403</v>
      </c>
      <c r="AQ43" s="34">
        <f t="shared" si="3"/>
        <v>171.91891891891891</v>
      </c>
      <c r="AR43" s="31">
        <f>11*5+1/63*100</f>
        <v>56.587301587301589</v>
      </c>
      <c r="AS43" s="31">
        <f>11*5+8/63*100</f>
        <v>67.698412698412696</v>
      </c>
      <c r="AT43" s="32">
        <f t="shared" si="19"/>
        <v>124.28571428571428</v>
      </c>
      <c r="AU43" s="31">
        <f t="shared" si="20"/>
        <v>1929.1720291720294</v>
      </c>
      <c r="AV43" s="31">
        <f t="shared" si="4"/>
        <v>1634.7541827541829</v>
      </c>
      <c r="AW43" s="31">
        <f t="shared" si="4"/>
        <v>3563.9262119262121</v>
      </c>
      <c r="AX43" s="35">
        <f t="shared" si="21"/>
        <v>132.86943065514495</v>
      </c>
      <c r="AY43" s="35">
        <f t="shared" si="5"/>
        <v>110.91101305387021</v>
      </c>
      <c r="AZ43" s="35">
        <f t="shared" si="5"/>
        <v>243.78044370901515</v>
      </c>
    </row>
    <row r="44" spans="1:52" x14ac:dyDescent="0.25">
      <c r="A44" s="36" t="s">
        <v>42</v>
      </c>
      <c r="B44" s="31">
        <f>50+33</f>
        <v>83</v>
      </c>
      <c r="C44" s="31">
        <v>82</v>
      </c>
      <c r="D44" s="31">
        <f t="shared" si="6"/>
        <v>165</v>
      </c>
      <c r="E44" s="31">
        <f>369+116</f>
        <v>485</v>
      </c>
      <c r="F44" s="31">
        <v>452</v>
      </c>
      <c r="G44" s="31">
        <f t="shared" si="7"/>
        <v>937</v>
      </c>
      <c r="H44" s="31">
        <f>312+131</f>
        <v>443</v>
      </c>
      <c r="I44" s="31">
        <v>364</v>
      </c>
      <c r="J44" s="31">
        <f t="shared" si="8"/>
        <v>807</v>
      </c>
      <c r="K44" s="31">
        <f>198+106</f>
        <v>304</v>
      </c>
      <c r="L44" s="31">
        <v>273</v>
      </c>
      <c r="M44" s="31">
        <f t="shared" si="9"/>
        <v>577</v>
      </c>
      <c r="N44" s="31">
        <f>305+44</f>
        <v>349</v>
      </c>
      <c r="O44" s="31">
        <v>355</v>
      </c>
      <c r="P44" s="31">
        <f t="shared" si="10"/>
        <v>704</v>
      </c>
      <c r="Q44" s="31">
        <f>313+98</f>
        <v>411</v>
      </c>
      <c r="R44" s="31">
        <v>280</v>
      </c>
      <c r="S44" s="31">
        <f t="shared" si="11"/>
        <v>691</v>
      </c>
      <c r="T44" s="31">
        <f>57*5+21/63*100</f>
        <v>318.33333333333331</v>
      </c>
      <c r="U44" s="31">
        <f>54*5+28/63*100</f>
        <v>314.44444444444446</v>
      </c>
      <c r="V44" s="32">
        <f t="shared" si="12"/>
        <v>632.77777777777783</v>
      </c>
      <c r="W44" s="31">
        <f>53*5+10/37*100</f>
        <v>292.02702702702703</v>
      </c>
      <c r="X44" s="31">
        <f>38*5+12/37*100</f>
        <v>222.43243243243245</v>
      </c>
      <c r="Y44" s="32">
        <f t="shared" si="13"/>
        <v>514.45945945945948</v>
      </c>
      <c r="Z44" s="31">
        <f>55*5+21/63*100</f>
        <v>308.33333333333331</v>
      </c>
      <c r="AA44" s="31">
        <f>44*5+25/63*100</f>
        <v>259.6825396825397</v>
      </c>
      <c r="AB44" s="32">
        <f t="shared" si="14"/>
        <v>568.01587301587301</v>
      </c>
      <c r="AC44" s="33">
        <f>8+3/37*100+55*4</f>
        <v>236.1081081081081</v>
      </c>
      <c r="AD44" s="33">
        <f>5+15/37*100+44*4</f>
        <v>221.54054054054055</v>
      </c>
      <c r="AE44" s="34">
        <f t="shared" si="15"/>
        <v>457.64864864864865</v>
      </c>
      <c r="AF44" s="31">
        <f>55*4+23/63*100+23</f>
        <v>279.50793650793651</v>
      </c>
      <c r="AG44" s="31">
        <f>55*4+11/63*100+11</f>
        <v>248.46031746031747</v>
      </c>
      <c r="AH44" s="32">
        <f t="shared" si="16"/>
        <v>527.96825396825398</v>
      </c>
      <c r="AI44" s="31">
        <f>63*5+10/37*100</f>
        <v>342.02702702702703</v>
      </c>
      <c r="AJ44" s="31">
        <f>68*5+11/37*100</f>
        <v>369.72972972972974</v>
      </c>
      <c r="AK44" s="32">
        <f t="shared" si="17"/>
        <v>711.75675675675677</v>
      </c>
      <c r="AL44" s="31">
        <f>83*5+30/63*100</f>
        <v>462.61904761904759</v>
      </c>
      <c r="AM44" s="31">
        <f>64*5+36/63*100</f>
        <v>377.14285714285711</v>
      </c>
      <c r="AN44" s="32">
        <f t="shared" si="18"/>
        <v>839.7619047619047</v>
      </c>
      <c r="AO44" s="33">
        <f>28+12/37*100+83*4</f>
        <v>392.43243243243245</v>
      </c>
      <c r="AP44" s="33">
        <f>39+11/37*100+64*4</f>
        <v>324.72972972972974</v>
      </c>
      <c r="AQ44" s="34">
        <f t="shared" si="3"/>
        <v>717.16216216216219</v>
      </c>
      <c r="AR44" s="31">
        <f>78*5+54/63*100</f>
        <v>475.71428571428572</v>
      </c>
      <c r="AS44" s="31">
        <f>46*5+81/63*100</f>
        <v>358.57142857142856</v>
      </c>
      <c r="AT44" s="32">
        <f t="shared" si="19"/>
        <v>834.28571428571422</v>
      </c>
      <c r="AU44" s="31">
        <f t="shared" si="20"/>
        <v>5182.1025311025305</v>
      </c>
      <c r="AV44" s="31">
        <f t="shared" si="4"/>
        <v>4502.73401973402</v>
      </c>
      <c r="AW44" s="31">
        <f t="shared" si="4"/>
        <v>9684.8365508365478</v>
      </c>
      <c r="AX44" s="35">
        <f t="shared" si="21"/>
        <v>364.22160936446647</v>
      </c>
      <c r="AY44" s="35">
        <f t="shared" si="5"/>
        <v>315.76671569528713</v>
      </c>
      <c r="AZ44" s="35">
        <f t="shared" si="5"/>
        <v>679.98832505975338</v>
      </c>
    </row>
    <row r="45" spans="1:52" x14ac:dyDescent="0.25">
      <c r="A45" s="36" t="s">
        <v>43</v>
      </c>
      <c r="B45" s="31">
        <v>113</v>
      </c>
      <c r="C45" s="31">
        <v>232</v>
      </c>
      <c r="D45" s="31">
        <f t="shared" si="6"/>
        <v>345</v>
      </c>
      <c r="E45" s="31">
        <v>688</v>
      </c>
      <c r="F45" s="31">
        <v>511</v>
      </c>
      <c r="G45" s="31">
        <f t="shared" si="7"/>
        <v>1199</v>
      </c>
      <c r="H45" s="31">
        <v>545</v>
      </c>
      <c r="I45" s="31">
        <v>551</v>
      </c>
      <c r="J45" s="31">
        <f t="shared" si="8"/>
        <v>1096</v>
      </c>
      <c r="K45" s="31">
        <v>466</v>
      </c>
      <c r="L45" s="31">
        <v>407</v>
      </c>
      <c r="M45" s="31">
        <f t="shared" si="9"/>
        <v>873</v>
      </c>
      <c r="N45" s="31">
        <v>580</v>
      </c>
      <c r="O45" s="31">
        <v>545.25</v>
      </c>
      <c r="P45" s="31">
        <f t="shared" si="10"/>
        <v>1125.25</v>
      </c>
      <c r="Q45" s="31">
        <v>457</v>
      </c>
      <c r="R45" s="31">
        <v>418</v>
      </c>
      <c r="S45" s="31">
        <f t="shared" si="11"/>
        <v>875</v>
      </c>
      <c r="T45" s="31">
        <f>110*5+35/63*100</f>
        <v>605.55555555555554</v>
      </c>
      <c r="U45" s="31">
        <f>78*5+19/63*100</f>
        <v>420.15873015873018</v>
      </c>
      <c r="V45" s="32">
        <f t="shared" si="12"/>
        <v>1025.7142857142858</v>
      </c>
      <c r="W45" s="31">
        <f>69*5+17/37*100</f>
        <v>390.94594594594594</v>
      </c>
      <c r="X45" s="31">
        <f>76*5+17/37*100</f>
        <v>425.94594594594594</v>
      </c>
      <c r="Y45" s="32">
        <f t="shared" si="13"/>
        <v>816.89189189189187</v>
      </c>
      <c r="Z45" s="31">
        <f>64*5+26/63*100</f>
        <v>361.26984126984127</v>
      </c>
      <c r="AA45" s="31">
        <f>69*5+19/63*100</f>
        <v>375.15873015873018</v>
      </c>
      <c r="AB45" s="32">
        <f t="shared" si="14"/>
        <v>736.42857142857144</v>
      </c>
      <c r="AC45" s="33">
        <f>6+17/37*100+64*4</f>
        <v>307.94594594594594</v>
      </c>
      <c r="AD45" s="33">
        <f>4+8/37*100+69*4</f>
        <v>301.62162162162161</v>
      </c>
      <c r="AE45" s="34">
        <f t="shared" si="15"/>
        <v>609.56756756756749</v>
      </c>
      <c r="AF45" s="31">
        <f>72*4+36/63*100+36</f>
        <v>381.14285714285711</v>
      </c>
      <c r="AG45" s="31">
        <f>92*4+36/63*100+36</f>
        <v>461.14285714285711</v>
      </c>
      <c r="AH45" s="32">
        <f t="shared" si="16"/>
        <v>842.28571428571422</v>
      </c>
      <c r="AI45" s="31">
        <f>110*5+44/37*100</f>
        <v>668.91891891891896</v>
      </c>
      <c r="AJ45" s="31">
        <f>78*5+14/37*100</f>
        <v>427.83783783783781</v>
      </c>
      <c r="AK45" s="32">
        <f t="shared" si="17"/>
        <v>1096.7567567567567</v>
      </c>
      <c r="AL45" s="31">
        <f>110*5+65/63*100</f>
        <v>653.17460317460313</v>
      </c>
      <c r="AM45" s="31">
        <f>96*5+43/63*100</f>
        <v>548.2539682539682</v>
      </c>
      <c r="AN45" s="32">
        <f t="shared" si="18"/>
        <v>1201.4285714285713</v>
      </c>
      <c r="AO45" s="33">
        <f>26+36/37*100+110*4</f>
        <v>563.29729729729729</v>
      </c>
      <c r="AP45" s="33">
        <f>51+20/37*100+96*4</f>
        <v>489.05405405405406</v>
      </c>
      <c r="AQ45" s="34">
        <f t="shared" si="3"/>
        <v>1052.3513513513512</v>
      </c>
      <c r="AR45" s="31">
        <f>103*5+76/63*100</f>
        <v>635.6349206349206</v>
      </c>
      <c r="AS45" s="31">
        <f>93*5+70/63*100</f>
        <v>576.11111111111109</v>
      </c>
      <c r="AT45" s="32">
        <f t="shared" si="19"/>
        <v>1211.7460317460318</v>
      </c>
      <c r="AU45" s="31">
        <f t="shared" si="20"/>
        <v>7416.8858858858857</v>
      </c>
      <c r="AV45" s="31">
        <f t="shared" si="4"/>
        <v>6689.5348562848558</v>
      </c>
      <c r="AW45" s="31">
        <f t="shared" si="4"/>
        <v>14106.420742170742</v>
      </c>
      <c r="AX45" s="35">
        <f t="shared" si="21"/>
        <v>521.70613470613478</v>
      </c>
      <c r="AY45" s="35">
        <f t="shared" si="5"/>
        <v>461.25248973463255</v>
      </c>
      <c r="AZ45" s="35">
        <f t="shared" si="5"/>
        <v>982.95862444076727</v>
      </c>
    </row>
    <row r="46" spans="1:52" x14ac:dyDescent="0.25">
      <c r="A46" s="36" t="s">
        <v>44</v>
      </c>
      <c r="B46" s="31">
        <v>787</v>
      </c>
      <c r="C46" s="31">
        <v>967</v>
      </c>
      <c r="D46" s="31">
        <f t="shared" si="6"/>
        <v>1754</v>
      </c>
      <c r="E46" s="31">
        <v>2834</v>
      </c>
      <c r="F46" s="31">
        <v>2370</v>
      </c>
      <c r="G46" s="31">
        <f t="shared" si="7"/>
        <v>5204</v>
      </c>
      <c r="H46" s="31">
        <v>2418</v>
      </c>
      <c r="I46" s="31">
        <v>2141</v>
      </c>
      <c r="J46" s="31">
        <f t="shared" si="8"/>
        <v>4559</v>
      </c>
      <c r="K46" s="31">
        <v>2023.25</v>
      </c>
      <c r="L46" s="31">
        <v>1942</v>
      </c>
      <c r="M46" s="31">
        <f t="shared" si="9"/>
        <v>3965.25</v>
      </c>
      <c r="N46" s="31">
        <v>1908.75</v>
      </c>
      <c r="O46" s="31">
        <v>2045</v>
      </c>
      <c r="P46" s="31">
        <f t="shared" si="10"/>
        <v>3953.75</v>
      </c>
      <c r="Q46" s="31">
        <v>1962</v>
      </c>
      <c r="R46" s="31">
        <v>2237</v>
      </c>
      <c r="S46" s="31">
        <f t="shared" si="11"/>
        <v>4199</v>
      </c>
      <c r="T46" s="31">
        <f>320*5+118/63*100</f>
        <v>1787.3015873015872</v>
      </c>
      <c r="U46" s="31">
        <f>355*5+157/63*100</f>
        <v>2024.2063492063492</v>
      </c>
      <c r="V46" s="32">
        <f t="shared" si="12"/>
        <v>3811.5079365079364</v>
      </c>
      <c r="W46" s="31">
        <f>326*5+101/37*100</f>
        <v>1902.9729729729729</v>
      </c>
      <c r="X46" s="31">
        <f>284*5+89/37*100</f>
        <v>1660.5405405405404</v>
      </c>
      <c r="Y46" s="32">
        <f t="shared" si="13"/>
        <v>3563.5135135135133</v>
      </c>
      <c r="Z46" s="31">
        <f>304*5+144/63*100</f>
        <v>1748.5714285714284</v>
      </c>
      <c r="AA46" s="31">
        <f>343*5+126/63*100</f>
        <v>1915</v>
      </c>
      <c r="AB46" s="32">
        <f t="shared" si="14"/>
        <v>3663.5714285714284</v>
      </c>
      <c r="AC46" s="33">
        <f>59+81/37*100+304*4</f>
        <v>1493.918918918919</v>
      </c>
      <c r="AD46" s="33">
        <f>55+111/37*100+343*4</f>
        <v>1727</v>
      </c>
      <c r="AE46" s="34">
        <f t="shared" si="15"/>
        <v>3220.9189189189192</v>
      </c>
      <c r="AF46" s="31">
        <f>315*4+130/63*100+130</f>
        <v>1596.3492063492063</v>
      </c>
      <c r="AG46" s="31">
        <f>250*4+107/63*100+107</f>
        <v>1276.8412698412699</v>
      </c>
      <c r="AH46" s="32">
        <f t="shared" si="16"/>
        <v>2873.1904761904761</v>
      </c>
      <c r="AI46" s="31">
        <f>359*5+141/37*100</f>
        <v>2176.0810810810813</v>
      </c>
      <c r="AJ46" s="31">
        <f>412*5+138/37*100</f>
        <v>2432.9729729729729</v>
      </c>
      <c r="AK46" s="32">
        <f t="shared" si="17"/>
        <v>4609.0540540540542</v>
      </c>
      <c r="AL46" s="31">
        <f>399*5+159/63*100</f>
        <v>2247.3809523809523</v>
      </c>
      <c r="AM46" s="31">
        <f>415*5+196/63*100</f>
        <v>2386.1111111111113</v>
      </c>
      <c r="AN46" s="32">
        <f t="shared" si="18"/>
        <v>4633.4920634920636</v>
      </c>
      <c r="AO46" s="33">
        <f>183+111/37*100+399*4</f>
        <v>2079</v>
      </c>
      <c r="AP46" s="33">
        <f>155+102/37*100+415*4</f>
        <v>2090.6756756756758</v>
      </c>
      <c r="AQ46" s="34">
        <f t="shared" si="3"/>
        <v>4169.6756756756758</v>
      </c>
      <c r="AR46" s="31">
        <f>307*5+388/63*100</f>
        <v>2150.8730158730159</v>
      </c>
      <c r="AS46" s="31">
        <f>348*5+315/63*100</f>
        <v>2240</v>
      </c>
      <c r="AT46" s="32">
        <f t="shared" si="19"/>
        <v>4390.8730158730159</v>
      </c>
      <c r="AU46" s="31">
        <f t="shared" si="20"/>
        <v>29115.449163449164</v>
      </c>
      <c r="AV46" s="31">
        <f t="shared" si="4"/>
        <v>29455.347919347918</v>
      </c>
      <c r="AW46" s="31">
        <f t="shared" si="4"/>
        <v>58570.797082797078</v>
      </c>
      <c r="AX46" s="35">
        <f t="shared" si="21"/>
        <v>2023.4606545320833</v>
      </c>
      <c r="AY46" s="35">
        <f t="shared" si="5"/>
        <v>2034.8819942391369</v>
      </c>
      <c r="AZ46" s="35">
        <f t="shared" si="5"/>
        <v>4058.34264877122</v>
      </c>
    </row>
    <row r="47" spans="1:52" x14ac:dyDescent="0.25">
      <c r="A47" s="36" t="s">
        <v>45</v>
      </c>
      <c r="B47" s="31">
        <v>369</v>
      </c>
      <c r="C47" s="31">
        <v>273</v>
      </c>
      <c r="D47" s="31">
        <f t="shared" si="6"/>
        <v>642</v>
      </c>
      <c r="E47" s="31">
        <v>704</v>
      </c>
      <c r="F47" s="31">
        <v>774</v>
      </c>
      <c r="G47" s="31">
        <f t="shared" si="7"/>
        <v>1478</v>
      </c>
      <c r="H47" s="31">
        <v>649</v>
      </c>
      <c r="I47" s="31">
        <v>726</v>
      </c>
      <c r="J47" s="31">
        <f t="shared" si="8"/>
        <v>1375</v>
      </c>
      <c r="K47" s="31">
        <v>662</v>
      </c>
      <c r="L47" s="31">
        <v>603</v>
      </c>
      <c r="M47" s="31">
        <f t="shared" si="9"/>
        <v>1265</v>
      </c>
      <c r="N47" s="31">
        <v>697</v>
      </c>
      <c r="O47" s="31">
        <v>609</v>
      </c>
      <c r="P47" s="31">
        <f t="shared" si="10"/>
        <v>1306</v>
      </c>
      <c r="Q47" s="31">
        <v>820.25</v>
      </c>
      <c r="R47" s="31">
        <v>660</v>
      </c>
      <c r="S47" s="31">
        <f t="shared" si="11"/>
        <v>1480.25</v>
      </c>
      <c r="T47" s="31">
        <f>115*5+25/63*100</f>
        <v>614.68253968253964</v>
      </c>
      <c r="U47" s="31">
        <f>88*5+14/63*100</f>
        <v>462.22222222222223</v>
      </c>
      <c r="V47" s="32">
        <f t="shared" si="12"/>
        <v>1076.9047619047619</v>
      </c>
      <c r="W47" s="31">
        <f>105*5+31/37*100</f>
        <v>608.78378378378375</v>
      </c>
      <c r="X47" s="31">
        <f>111*5+21/37*100</f>
        <v>611.75675675675677</v>
      </c>
      <c r="Y47" s="32">
        <f t="shared" si="13"/>
        <v>1220.5405405405404</v>
      </c>
      <c r="Z47" s="31">
        <f>99*5+38/63*100</f>
        <v>555.31746031746036</v>
      </c>
      <c r="AA47" s="31">
        <f>91*5+38/63*100</f>
        <v>515.31746031746036</v>
      </c>
      <c r="AB47" s="32">
        <f t="shared" si="14"/>
        <v>1070.6349206349207</v>
      </c>
      <c r="AC47" s="33">
        <f>11+22/37*100+99*4</f>
        <v>466.45945945945948</v>
      </c>
      <c r="AD47" s="33">
        <f>10+12/37*100+91*4</f>
        <v>406.43243243243245</v>
      </c>
      <c r="AE47" s="34">
        <f t="shared" si="15"/>
        <v>872.89189189189187</v>
      </c>
      <c r="AF47" s="31">
        <f>95*4+39/63*100+39</f>
        <v>480.90476190476193</v>
      </c>
      <c r="AG47" s="31">
        <f>171*4+60/63*100+60</f>
        <v>839.23809523809518</v>
      </c>
      <c r="AH47" s="32">
        <f t="shared" si="16"/>
        <v>1320.1428571428571</v>
      </c>
      <c r="AI47" s="31">
        <f>123*5+25/37*100</f>
        <v>682.56756756756761</v>
      </c>
      <c r="AJ47" s="31">
        <f>140*5+24/37*100</f>
        <v>764.8648648648649</v>
      </c>
      <c r="AK47" s="32">
        <f t="shared" si="17"/>
        <v>1447.4324324324325</v>
      </c>
      <c r="AL47" s="31">
        <f>81*5+29/63*100</f>
        <v>451.03174603174602</v>
      </c>
      <c r="AM47" s="31">
        <f>95*5+36/63*100</f>
        <v>532.14285714285711</v>
      </c>
      <c r="AN47" s="32">
        <f t="shared" si="18"/>
        <v>983.17460317460313</v>
      </c>
      <c r="AO47" s="33">
        <f>12+27/37*100+81*4</f>
        <v>408.97297297297297</v>
      </c>
      <c r="AP47" s="33">
        <f>29+22/37*100+95*4</f>
        <v>468.45945945945948</v>
      </c>
      <c r="AQ47" s="34">
        <f t="shared" si="3"/>
        <v>877.43243243243251</v>
      </c>
      <c r="AR47" s="31">
        <f>102*5+41/63*100</f>
        <v>575.07936507936506</v>
      </c>
      <c r="AS47" s="31">
        <f>93*5+62/63*100</f>
        <v>563.41269841269843</v>
      </c>
      <c r="AT47" s="32">
        <f t="shared" si="19"/>
        <v>1138.4920634920636</v>
      </c>
      <c r="AU47" s="31">
        <f t="shared" si="20"/>
        <v>8745.0496567996579</v>
      </c>
      <c r="AV47" s="31">
        <f t="shared" si="4"/>
        <v>8808.8468468468473</v>
      </c>
      <c r="AW47" s="31">
        <f t="shared" si="4"/>
        <v>17553.896503646502</v>
      </c>
      <c r="AX47" s="35">
        <f t="shared" si="21"/>
        <v>598.28926119997561</v>
      </c>
      <c r="AY47" s="35">
        <f t="shared" si="5"/>
        <v>609.7033462033462</v>
      </c>
      <c r="AZ47" s="35">
        <f t="shared" si="5"/>
        <v>1207.9926074033215</v>
      </c>
    </row>
    <row r="48" spans="1:52" x14ac:dyDescent="0.25">
      <c r="A48" s="36" t="s">
        <v>46</v>
      </c>
      <c r="B48" s="31">
        <v>150</v>
      </c>
      <c r="C48" s="31">
        <v>118</v>
      </c>
      <c r="D48" s="31">
        <f t="shared" si="6"/>
        <v>268</v>
      </c>
      <c r="E48" s="31">
        <v>496</v>
      </c>
      <c r="F48" s="31">
        <v>349</v>
      </c>
      <c r="G48" s="31">
        <f t="shared" si="7"/>
        <v>845</v>
      </c>
      <c r="H48" s="31">
        <v>466</v>
      </c>
      <c r="I48" s="31">
        <v>397</v>
      </c>
      <c r="J48" s="31">
        <f t="shared" si="8"/>
        <v>863</v>
      </c>
      <c r="K48" s="31">
        <v>390</v>
      </c>
      <c r="L48" s="31">
        <v>401</v>
      </c>
      <c r="M48" s="31">
        <f t="shared" si="9"/>
        <v>791</v>
      </c>
      <c r="N48" s="31">
        <v>388</v>
      </c>
      <c r="O48" s="31">
        <v>371</v>
      </c>
      <c r="P48" s="31">
        <f t="shared" si="10"/>
        <v>759</v>
      </c>
      <c r="Q48" s="31">
        <v>465</v>
      </c>
      <c r="R48" s="31">
        <v>346</v>
      </c>
      <c r="S48" s="31">
        <f t="shared" si="11"/>
        <v>811</v>
      </c>
      <c r="T48" s="31">
        <f>57*5+34/63*100</f>
        <v>338.96825396825398</v>
      </c>
      <c r="U48" s="31">
        <f>55*5+18/63*100</f>
        <v>303.57142857142856</v>
      </c>
      <c r="V48" s="32">
        <f t="shared" si="12"/>
        <v>642.53968253968253</v>
      </c>
      <c r="W48" s="31">
        <f>39*5+11/37*100</f>
        <v>224.72972972972974</v>
      </c>
      <c r="X48" s="31">
        <f>47*5+23/37*100</f>
        <v>297.16216216216219</v>
      </c>
      <c r="Y48" s="32">
        <f t="shared" si="13"/>
        <v>521.89189189189187</v>
      </c>
      <c r="Z48" s="31">
        <f>59*5+24/63*100</f>
        <v>333.09523809523807</v>
      </c>
      <c r="AA48" s="31">
        <f>65*5+33/63*100</f>
        <v>377.38095238095241</v>
      </c>
      <c r="AB48" s="32">
        <f t="shared" si="14"/>
        <v>710.47619047619048</v>
      </c>
      <c r="AC48" s="33">
        <f>10+17/37*100+59*4</f>
        <v>291.94594594594594</v>
      </c>
      <c r="AD48" s="33">
        <f>6+12/37*100+65*4</f>
        <v>298.43243243243245</v>
      </c>
      <c r="AE48" s="34">
        <f t="shared" si="15"/>
        <v>590.37837837837833</v>
      </c>
      <c r="AF48" s="31">
        <f>47*4+20/63*100+20</f>
        <v>239.74603174603175</v>
      </c>
      <c r="AG48" s="31">
        <f>58*4+31/63*100+31</f>
        <v>312.20634920634922</v>
      </c>
      <c r="AH48" s="32">
        <f t="shared" si="16"/>
        <v>551.95238095238096</v>
      </c>
      <c r="AI48" s="31">
        <f>74*5+43/37*100</f>
        <v>486.2162162162162</v>
      </c>
      <c r="AJ48" s="31">
        <f>65*5+51/37*100</f>
        <v>462.83783783783781</v>
      </c>
      <c r="AK48" s="32">
        <f t="shared" si="17"/>
        <v>949.05405405405395</v>
      </c>
      <c r="AL48" s="31">
        <f>76*5+51/63*100</f>
        <v>460.95238095238096</v>
      </c>
      <c r="AM48" s="31">
        <f>70*5+62/63*100</f>
        <v>448.41269841269843</v>
      </c>
      <c r="AN48" s="32">
        <f t="shared" si="18"/>
        <v>909.3650793650794</v>
      </c>
      <c r="AO48" s="33">
        <f>53+27/37*100+76*4</f>
        <v>429.97297297297297</v>
      </c>
      <c r="AP48" s="33">
        <f>52+31/37*100+70*4</f>
        <v>415.7837837837838</v>
      </c>
      <c r="AQ48" s="34">
        <f t="shared" si="3"/>
        <v>845.75675675675677</v>
      </c>
      <c r="AR48" s="31">
        <f>62*5+86/63*100</f>
        <v>446.50793650793651</v>
      </c>
      <c r="AS48" s="31">
        <f>62*5+128/63*100</f>
        <v>513.17460317460313</v>
      </c>
      <c r="AT48" s="32">
        <f t="shared" si="19"/>
        <v>959.68253968253964</v>
      </c>
      <c r="AU48" s="31">
        <f t="shared" si="20"/>
        <v>5607.134706134706</v>
      </c>
      <c r="AV48" s="31">
        <f t="shared" si="4"/>
        <v>5410.9622479622485</v>
      </c>
      <c r="AW48" s="31">
        <f t="shared" si="4"/>
        <v>11018.096954096953</v>
      </c>
      <c r="AX48" s="35">
        <f t="shared" si="21"/>
        <v>389.79533615247902</v>
      </c>
      <c r="AY48" s="35">
        <f t="shared" si="5"/>
        <v>378.06873199730347</v>
      </c>
      <c r="AZ48" s="35">
        <f t="shared" si="5"/>
        <v>767.86406814978238</v>
      </c>
    </row>
    <row r="49" spans="1:52" x14ac:dyDescent="0.25">
      <c r="A49" s="14" t="s">
        <v>26</v>
      </c>
      <c r="B49" s="15">
        <f t="shared" ref="B49:R49" si="22">SUM(B38:B48)</f>
        <v>3443</v>
      </c>
      <c r="C49" s="15">
        <f t="shared" si="22"/>
        <v>3445</v>
      </c>
      <c r="D49" s="15">
        <f t="shared" si="22"/>
        <v>6888</v>
      </c>
      <c r="E49" s="15">
        <f t="shared" si="22"/>
        <v>8415</v>
      </c>
      <c r="F49" s="15">
        <f t="shared" si="22"/>
        <v>8108</v>
      </c>
      <c r="G49" s="15">
        <f t="shared" si="22"/>
        <v>16523</v>
      </c>
      <c r="H49" s="15">
        <f t="shared" si="22"/>
        <v>7440</v>
      </c>
      <c r="I49" s="15">
        <f t="shared" si="22"/>
        <v>7410</v>
      </c>
      <c r="J49" s="15">
        <f t="shared" si="22"/>
        <v>14850</v>
      </c>
      <c r="K49" s="15">
        <f t="shared" si="22"/>
        <v>6541.5</v>
      </c>
      <c r="L49" s="15">
        <f t="shared" si="22"/>
        <v>6542</v>
      </c>
      <c r="M49" s="15">
        <f t="shared" si="22"/>
        <v>13083.5</v>
      </c>
      <c r="N49" s="15">
        <f t="shared" si="22"/>
        <v>6395</v>
      </c>
      <c r="O49" s="15">
        <f t="shared" si="22"/>
        <v>6371.25</v>
      </c>
      <c r="P49" s="15">
        <f t="shared" si="22"/>
        <v>12766.25</v>
      </c>
      <c r="Q49" s="15">
        <f t="shared" si="22"/>
        <v>6821.5</v>
      </c>
      <c r="R49" s="15">
        <f t="shared" si="22"/>
        <v>6759</v>
      </c>
      <c r="S49" s="15">
        <f>SUM(S38:S48)</f>
        <v>13580.5</v>
      </c>
      <c r="T49" s="15">
        <f>SUM(T38:T48)</f>
        <v>5292.539682539682</v>
      </c>
      <c r="U49" s="15">
        <f t="shared" ref="U49:AB49" si="23">SUM(U38:U48)</f>
        <v>5292.5396825396829</v>
      </c>
      <c r="V49" s="15">
        <f t="shared" si="23"/>
        <v>10585.079365079364</v>
      </c>
      <c r="W49" s="15">
        <f>SUM(W38:W48)</f>
        <v>5261.2162162162167</v>
      </c>
      <c r="X49" s="15">
        <f t="shared" si="23"/>
        <v>5261.2162162162158</v>
      </c>
      <c r="Y49" s="15">
        <f t="shared" si="23"/>
        <v>10522.432432432432</v>
      </c>
      <c r="Z49" s="15">
        <f t="shared" si="23"/>
        <v>5011.8253968253957</v>
      </c>
      <c r="AA49" s="15">
        <f t="shared" si="23"/>
        <v>5011.8253968253966</v>
      </c>
      <c r="AB49" s="15">
        <f t="shared" si="23"/>
        <v>10023.650793650793</v>
      </c>
      <c r="AC49" s="15">
        <f>SUM(AC38:AC48)</f>
        <v>4326.6486486486492</v>
      </c>
      <c r="AD49" s="15">
        <f t="shared" ref="AD49:AO49" si="24">SUM(AD38:AD48)</f>
        <v>4326.5405405405409</v>
      </c>
      <c r="AE49" s="15">
        <f t="shared" si="24"/>
        <v>8653.1891891891901</v>
      </c>
      <c r="AF49" s="15">
        <f t="shared" si="24"/>
        <v>4132.333333333333</v>
      </c>
      <c r="AG49" s="15">
        <f t="shared" si="24"/>
        <v>4340.333333333333</v>
      </c>
      <c r="AH49" s="15">
        <f t="shared" si="24"/>
        <v>8472.6666666666661</v>
      </c>
      <c r="AI49" s="15">
        <f t="shared" si="24"/>
        <v>6533.2432432432433</v>
      </c>
      <c r="AJ49" s="15">
        <f t="shared" si="24"/>
        <v>6404.4594594594591</v>
      </c>
      <c r="AK49" s="15">
        <f t="shared" si="24"/>
        <v>12937.702702702703</v>
      </c>
      <c r="AL49" s="15">
        <f t="shared" si="24"/>
        <v>6315.3174603174602</v>
      </c>
      <c r="AM49" s="15">
        <f t="shared" si="24"/>
        <v>6052.1428571428578</v>
      </c>
      <c r="AN49" s="15">
        <f t="shared" si="24"/>
        <v>12367.460317460318</v>
      </c>
      <c r="AO49" s="15">
        <f t="shared" si="24"/>
        <v>5754.6756756756768</v>
      </c>
      <c r="AP49" s="15">
        <f>SUM(AP38:AP48)</f>
        <v>5545.0810810810817</v>
      </c>
      <c r="AQ49" s="15">
        <f>SUM(AQ38:AQ48)</f>
        <v>11299.756756756757</v>
      </c>
      <c r="AR49" s="15">
        <f>SUM(AR38:AR48)</f>
        <v>6296.5873015873012</v>
      </c>
      <c r="AS49" s="15">
        <f t="shared" ref="AS49:AU49" si="25">SUM(AS38:AS48)</f>
        <v>6241.5873015873021</v>
      </c>
      <c r="AT49" s="15">
        <f t="shared" si="25"/>
        <v>12538.174603174602</v>
      </c>
      <c r="AU49" s="15">
        <f t="shared" si="25"/>
        <v>87980.386958386967</v>
      </c>
      <c r="AV49" s="15">
        <f t="shared" si="4"/>
        <v>87110.975868725873</v>
      </c>
      <c r="AW49" s="15">
        <f>SUM(D49,G49,J49,M49,P49,S49,V49,Y49,AB49,AE49,AH49,AK49,AN49,AQ49,AT49)</f>
        <v>175091.36282711284</v>
      </c>
      <c r="AX49" s="15">
        <f t="shared" si="21"/>
        <v>6038.3847827419258</v>
      </c>
      <c r="AY49" s="15">
        <f t="shared" si="5"/>
        <v>5976.1411334804197</v>
      </c>
      <c r="AZ49" s="15">
        <f>AVERAGE(G49,J49,M49,P49,S49,V49,Y49,AB49,AE49,AH49,AK49,AN49,AQ49,AT49)</f>
        <v>12014.525916222346</v>
      </c>
    </row>
    <row r="50" spans="1:52" x14ac:dyDescent="0.25">
      <c r="T50" s="18" t="s">
        <v>27</v>
      </c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</row>
    <row r="51" spans="1:52" x14ac:dyDescent="0.25">
      <c r="AF51" s="21" t="s">
        <v>28</v>
      </c>
    </row>
    <row r="52" spans="1:52" x14ac:dyDescent="0.25">
      <c r="AC52" s="22" t="s">
        <v>47</v>
      </c>
      <c r="AM52" s="37"/>
      <c r="AO52" s="37"/>
      <c r="AP52" s="37"/>
      <c r="AR52" s="37"/>
      <c r="AS52" s="37"/>
    </row>
    <row r="53" spans="1:52" x14ac:dyDescent="0.25">
      <c r="Z53" s="37"/>
      <c r="AI53" s="37"/>
      <c r="AJ53" s="37"/>
      <c r="AL53" s="37"/>
      <c r="AM53" s="37"/>
      <c r="AO53" s="37"/>
      <c r="AP53" s="37"/>
      <c r="AR53" s="37"/>
      <c r="AS53" s="37"/>
    </row>
    <row r="54" spans="1:52" x14ac:dyDescent="0.25">
      <c r="T54" s="37"/>
      <c r="W54" s="37"/>
      <c r="X54" s="37"/>
      <c r="Z54" s="37"/>
      <c r="AC54" s="37"/>
      <c r="AD54" s="37"/>
      <c r="AF54" s="37"/>
      <c r="AG54" s="37"/>
      <c r="AI54" s="37"/>
      <c r="AJ54" s="37"/>
      <c r="AL54" s="37"/>
      <c r="AM54" s="37"/>
      <c r="AO54" s="37"/>
      <c r="AP54" s="37"/>
      <c r="AR54" s="37"/>
      <c r="AS54" s="37"/>
    </row>
    <row r="55" spans="1:52" x14ac:dyDescent="0.25">
      <c r="T55" s="37"/>
      <c r="W55" s="37"/>
      <c r="X55" s="37"/>
      <c r="Z55" s="37"/>
      <c r="AC55" s="37"/>
      <c r="AD55" s="37"/>
      <c r="AF55" s="37"/>
      <c r="AG55" s="37"/>
      <c r="AI55" s="37"/>
      <c r="AJ55" s="37"/>
      <c r="AL55" s="37"/>
      <c r="AM55" s="37"/>
      <c r="AO55" s="37"/>
      <c r="AP55" s="37"/>
      <c r="AR55" s="37"/>
      <c r="AS55" s="37"/>
    </row>
    <row r="56" spans="1:52" x14ac:dyDescent="0.25">
      <c r="T56" s="37"/>
      <c r="W56" s="37"/>
      <c r="X56" s="37"/>
      <c r="Z56" s="37"/>
      <c r="AC56" s="37"/>
      <c r="AD56" s="37"/>
      <c r="AF56" s="37"/>
      <c r="AG56" s="37"/>
      <c r="AI56" s="37"/>
      <c r="AJ56" s="37"/>
      <c r="AL56" s="37"/>
      <c r="AM56" s="37"/>
      <c r="AO56" s="37"/>
      <c r="AP56" s="37"/>
      <c r="AR56" s="37"/>
      <c r="AS56" s="37"/>
    </row>
    <row r="57" spans="1:52" x14ac:dyDescent="0.25">
      <c r="T57" s="37"/>
      <c r="W57" s="37"/>
      <c r="X57" s="37"/>
      <c r="Z57" s="37"/>
      <c r="AC57" s="37"/>
      <c r="AD57" s="37"/>
      <c r="AF57" s="37"/>
      <c r="AG57" s="37"/>
      <c r="AI57" s="37"/>
      <c r="AJ57" s="37"/>
      <c r="AL57" s="37"/>
      <c r="AM57" s="37"/>
      <c r="AO57" s="37"/>
      <c r="AP57" s="37"/>
      <c r="AR57" s="37"/>
      <c r="AS57" s="37"/>
    </row>
    <row r="58" spans="1:52" x14ac:dyDescent="0.25">
      <c r="T58" s="37"/>
      <c r="W58" s="37"/>
      <c r="X58" s="37"/>
      <c r="Z58" s="37"/>
      <c r="AC58" s="37"/>
      <c r="AD58" s="37"/>
      <c r="AF58" s="37"/>
      <c r="AG58" s="37"/>
      <c r="AI58" s="37"/>
      <c r="AJ58" s="37"/>
      <c r="AL58" s="37"/>
      <c r="AM58" s="37"/>
      <c r="AO58" s="37"/>
      <c r="AP58" s="37"/>
      <c r="AR58" s="37"/>
      <c r="AS58" s="37"/>
    </row>
    <row r="59" spans="1:52" x14ac:dyDescent="0.25">
      <c r="T59" s="37"/>
      <c r="W59" s="37"/>
      <c r="X59" s="37"/>
      <c r="Z59" s="37"/>
      <c r="AC59" s="37"/>
      <c r="AD59" s="37"/>
      <c r="AF59" s="37"/>
      <c r="AG59" s="37"/>
      <c r="AI59" s="37"/>
      <c r="AJ59" s="37"/>
      <c r="AL59" s="37"/>
      <c r="AM59" s="37"/>
      <c r="AO59" s="37"/>
      <c r="AP59" s="37"/>
      <c r="AR59" s="37"/>
      <c r="AS59" s="37"/>
    </row>
    <row r="60" spans="1:52" x14ac:dyDescent="0.25">
      <c r="T60" s="37"/>
      <c r="W60" s="37"/>
      <c r="X60" s="37"/>
      <c r="Z60" s="37"/>
      <c r="AC60" s="37"/>
      <c r="AD60" s="37"/>
      <c r="AF60" s="37"/>
      <c r="AG60" s="37"/>
      <c r="AI60" s="37"/>
      <c r="AJ60" s="37"/>
      <c r="AL60" s="37"/>
      <c r="AM60" s="37"/>
      <c r="AO60" s="37"/>
      <c r="AP60" s="37"/>
      <c r="AR60" s="37"/>
      <c r="AS60" s="37"/>
    </row>
    <row r="61" spans="1:52" x14ac:dyDescent="0.25">
      <c r="T61" s="37"/>
      <c r="W61" s="37"/>
      <c r="X61" s="37"/>
      <c r="Z61" s="37"/>
      <c r="AC61" s="37"/>
      <c r="AD61" s="37"/>
      <c r="AF61" s="37"/>
      <c r="AG61" s="37"/>
      <c r="AI61" s="37"/>
      <c r="AJ61" s="37"/>
      <c r="AL61" s="37"/>
      <c r="AM61" s="37"/>
      <c r="AO61" s="37"/>
      <c r="AP61" s="37"/>
      <c r="AR61" s="37"/>
      <c r="AS61" s="37"/>
    </row>
    <row r="62" spans="1:52" x14ac:dyDescent="0.25">
      <c r="T62" s="37"/>
      <c r="W62" s="37"/>
      <c r="X62" s="37"/>
      <c r="Z62" s="37"/>
      <c r="AC62" s="37"/>
      <c r="AD62" s="37"/>
      <c r="AF62" s="37"/>
      <c r="AG62" s="37"/>
      <c r="AI62" s="37"/>
      <c r="AJ62" s="37"/>
      <c r="AL62" s="37"/>
      <c r="AM62" s="37"/>
      <c r="AO62" s="37"/>
      <c r="AP62" s="37"/>
      <c r="AR62" s="37"/>
      <c r="AS62" s="37"/>
    </row>
    <row r="63" spans="1:52" x14ac:dyDescent="0.25">
      <c r="T63" s="37"/>
      <c r="W63" s="37"/>
      <c r="X63" s="37"/>
      <c r="Z63" s="37"/>
      <c r="AC63" s="37"/>
      <c r="AD63" s="37"/>
      <c r="AF63" s="37"/>
      <c r="AG63" s="37"/>
      <c r="AI63" s="37"/>
      <c r="AJ63" s="37"/>
      <c r="AL63" s="37"/>
    </row>
    <row r="64" spans="1:52" x14ac:dyDescent="0.25">
      <c r="T64" s="37"/>
      <c r="W64" s="37"/>
      <c r="X64" s="37"/>
      <c r="Z64" s="37"/>
      <c r="AC64" s="37"/>
      <c r="AD64" s="37"/>
      <c r="AF64" s="37"/>
      <c r="AG64" s="37"/>
    </row>
    <row r="65" spans="20:20" x14ac:dyDescent="0.25">
      <c r="T65" s="37"/>
    </row>
  </sheetData>
  <mergeCells count="21">
    <mergeCell ref="AO36:AQ36"/>
    <mergeCell ref="AR36:AT36"/>
    <mergeCell ref="AU36:AW36"/>
    <mergeCell ref="AX36:AZ36"/>
    <mergeCell ref="T50:AT50"/>
    <mergeCell ref="W36:Y36"/>
    <mergeCell ref="Z36:AB36"/>
    <mergeCell ref="AC36:AE36"/>
    <mergeCell ref="AF36:AH36"/>
    <mergeCell ref="AI36:AK36"/>
    <mergeCell ref="AL36:AN36"/>
    <mergeCell ref="A2:R2"/>
    <mergeCell ref="H12:P12"/>
    <mergeCell ref="A35:AZ35"/>
    <mergeCell ref="B36:D36"/>
    <mergeCell ref="E36:G36"/>
    <mergeCell ref="H36:J36"/>
    <mergeCell ref="K36:M36"/>
    <mergeCell ref="N36:P36"/>
    <mergeCell ref="Q36:S36"/>
    <mergeCell ref="T36:V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Région des Pays de la 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H'DADDOU Youness</cp:lastModifiedBy>
  <dcterms:created xsi:type="dcterms:W3CDTF">2014-07-01T15:14:28Z</dcterms:created>
  <dcterms:modified xsi:type="dcterms:W3CDTF">2014-07-01T15:24:05Z</dcterms:modified>
</cp:coreProperties>
</file>