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6520" windowHeight="12360" tabRatio="159" activeTab="0"/>
  </bookViews>
  <sheets>
    <sheet name="Sheet1" sheetId="1" r:id="rId1"/>
  </sheets>
  <definedNames>
    <definedName name="_xlnm.Print_Area" localSheetId="0">'Sheet1'!$A$1:$R$71</definedName>
    <definedName name="Print_Area_0" localSheetId="0">'Sheet1'!$A$1:$R$71</definedName>
    <definedName name="Print_Area_0_0" localSheetId="0">'Sheet1'!$A$1:$R$71</definedName>
    <definedName name="Print_Area_0_0_0" localSheetId="0">'Sheet1'!$A$1:$R$71</definedName>
    <definedName name="WEEK4">'Sheet1'!$A$1:$N$27</definedName>
    <definedName name="WEEK5">'Sheet1'!$A$1:$N$27</definedName>
  </definedNames>
  <calcPr fullCalcOnLoad="1"/>
</workbook>
</file>

<file path=xl/sharedStrings.xml><?xml version="1.0" encoding="utf-8"?>
<sst xmlns="http://schemas.openxmlformats.org/spreadsheetml/2006/main" count="56" uniqueCount="35">
  <si>
    <t>Manufactured Cylinders</t>
  </si>
  <si>
    <t>Import Products</t>
  </si>
  <si>
    <t>MTD Total</t>
  </si>
  <si>
    <t>MTD Shipped</t>
  </si>
  <si>
    <t>Received</t>
  </si>
  <si>
    <t>Shipped</t>
  </si>
  <si>
    <t>Balance</t>
  </si>
  <si>
    <t>Cylinders</t>
  </si>
  <si>
    <t>Import</t>
  </si>
  <si>
    <t>WK END</t>
  </si>
  <si>
    <t>Average Order Entry Per Day</t>
  </si>
  <si>
    <t>Days Per Month</t>
  </si>
  <si>
    <t>Backlog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</si>
  <si>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</si>
  <si>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</si>
  <si>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</si>
  <si>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</si>
  <si>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</si>
  <si>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</si>
  <si>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</si>
  <si>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</si>
  <si>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</si>
  <si>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</si>
  <si>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</si>
  <si>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</si>
  <si>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YTD Totals</t>
  </si>
  <si>
    <t>YTD Daily Average Order Entry</t>
  </si>
  <si>
    <t>Daily Average Order Entry Goals</t>
  </si>
  <si>
    <t>Manufactured</t>
  </si>
  <si>
    <t>Cells</t>
  </si>
  <si>
    <t>Total</t>
  </si>
  <si>
    <t>per day</t>
  </si>
  <si>
    <t>February Shipping Goals</t>
  </si>
  <si>
    <t>February Actual Average Shipping Per Day</t>
  </si>
  <si>
    <t>January Actual Average Shipping Per Day Results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</si>
</sst>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\ "/>
    <numFmt numFmtId="165" formatCode="mm/dd"/>
    <numFmt numFmtId="166" formatCode="#,###"/>
    <numFmt numFmtId="167" formatCode="mmm\-yyyy"/>
  </numFmts>
  <fonts count="38">
    <font>
      <sz val="8"/>
      <name val="Arial"/>
      <family val="2"/>
    </font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1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1">
    <xf numFmtId="164" fontId="0" fillId="0" borderId="0" xfId="0" applyAlignment="1">
      <alignment/>
    </xf>
    <xf numFmtId="165" fontId="2" fillId="0" borderId="10" xfId="0" applyNumberFormat="1" applyFont="1" applyBorder="1" applyAlignment="1">
      <alignment horizontal="left"/>
    </xf>
    <xf numFmtId="3" fontId="3" fillId="0" borderId="11" xfId="0" applyNumberFormat="1" applyFont="1" applyBorder="1" applyAlignment="1">
      <alignment/>
    </xf>
    <xf numFmtId="164" fontId="3" fillId="0" borderId="0" xfId="0" applyFont="1" applyAlignment="1">
      <alignment/>
    </xf>
    <xf numFmtId="165" fontId="2" fillId="0" borderId="12" xfId="0" applyNumberFormat="1" applyFont="1" applyBorder="1" applyAlignment="1">
      <alignment horizontal="left"/>
    </xf>
    <xf numFmtId="3" fontId="2" fillId="0" borderId="0" xfId="0" applyNumberFormat="1" applyFont="1" applyBorder="1" applyAlignment="1">
      <alignment horizontal="center"/>
    </xf>
    <xf numFmtId="3" fontId="2" fillId="0" borderId="0" xfId="0" applyNumberFormat="1" applyFont="1" applyAlignment="1">
      <alignment horizontal="center"/>
    </xf>
    <xf numFmtId="3" fontId="2" fillId="0" borderId="13" xfId="0" applyNumberFormat="1" applyFont="1" applyBorder="1" applyAlignment="1">
      <alignment horizontal="center"/>
    </xf>
    <xf numFmtId="3" fontId="2" fillId="0" borderId="0" xfId="0" applyNumberFormat="1" applyFont="1" applyAlignment="1">
      <alignment/>
    </xf>
    <xf numFmtId="164" fontId="2" fillId="0" borderId="0" xfId="0" applyFont="1" applyAlignment="1">
      <alignment/>
    </xf>
    <xf numFmtId="3" fontId="2" fillId="0" borderId="14" xfId="0" applyNumberFormat="1" applyFont="1" applyBorder="1" applyAlignment="1">
      <alignment/>
    </xf>
    <xf numFmtId="3" fontId="2" fillId="0" borderId="15" xfId="0" applyNumberFormat="1" applyFont="1" applyBorder="1" applyAlignment="1">
      <alignment/>
    </xf>
    <xf numFmtId="165" fontId="3" fillId="0" borderId="12" xfId="0" applyNumberFormat="1" applyFont="1" applyBorder="1" applyAlignment="1">
      <alignment horizontal="left"/>
    </xf>
    <xf numFmtId="3" fontId="3" fillId="0" borderId="16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3" fontId="3" fillId="0" borderId="13" xfId="0" applyNumberFormat="1" applyFont="1" applyBorder="1" applyAlignment="1">
      <alignment/>
    </xf>
    <xf numFmtId="3" fontId="2" fillId="0" borderId="16" xfId="0" applyNumberFormat="1" applyFont="1" applyBorder="1" applyAlignment="1">
      <alignment/>
    </xf>
    <xf numFmtId="3" fontId="2" fillId="0" borderId="13" xfId="0" applyNumberFormat="1" applyFont="1" applyBorder="1" applyAlignment="1">
      <alignment/>
    </xf>
    <xf numFmtId="165" fontId="2" fillId="0" borderId="17" xfId="0" applyNumberFormat="1" applyFont="1" applyBorder="1" applyAlignment="1">
      <alignment horizontal="left"/>
    </xf>
    <xf numFmtId="3" fontId="2" fillId="0" borderId="18" xfId="0" applyNumberFormat="1" applyFont="1" applyBorder="1" applyAlignment="1">
      <alignment/>
    </xf>
    <xf numFmtId="165" fontId="2" fillId="0" borderId="0" xfId="0" applyNumberFormat="1" applyFont="1" applyAlignment="1">
      <alignment horizontal="left"/>
    </xf>
    <xf numFmtId="2" fontId="3" fillId="0" borderId="0" xfId="0" applyNumberFormat="1" applyFont="1" applyAlignment="1">
      <alignment horizontal="left"/>
    </xf>
    <xf numFmtId="3" fontId="3" fillId="0" borderId="19" xfId="0" applyNumberFormat="1" applyFont="1" applyBorder="1" applyAlignment="1">
      <alignment/>
    </xf>
    <xf numFmtId="2" fontId="3" fillId="0" borderId="0" xfId="0" applyNumberFormat="1" applyFont="1" applyAlignment="1">
      <alignment/>
    </xf>
    <xf numFmtId="3" fontId="3" fillId="0" borderId="0" xfId="0" applyNumberFormat="1" applyFont="1" applyBorder="1" applyAlignment="1">
      <alignment/>
    </xf>
    <xf numFmtId="165" fontId="3" fillId="0" borderId="0" xfId="0" applyNumberFormat="1" applyFont="1" applyAlignment="1">
      <alignment horizontal="left"/>
    </xf>
    <xf numFmtId="3" fontId="3" fillId="0" borderId="0" xfId="0" applyNumberFormat="1" applyFont="1" applyAlignment="1">
      <alignment horizontal="right"/>
    </xf>
    <xf numFmtId="3" fontId="0" fillId="0" borderId="0" xfId="0" applyNumberFormat="1" applyAlignment="1">
      <alignment/>
    </xf>
    <xf numFmtId="166" fontId="3" fillId="0" borderId="0" xfId="0" applyNumberFormat="1" applyFont="1" applyAlignment="1">
      <alignment/>
    </xf>
    <xf numFmtId="3" fontId="3" fillId="0" borderId="14" xfId="0" applyNumberFormat="1" applyFont="1" applyBorder="1" applyAlignment="1">
      <alignment/>
    </xf>
    <xf numFmtId="3" fontId="2" fillId="0" borderId="20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1"/>
  <sheetViews>
    <sheetView tabSelected="1" zoomScalePageLayoutView="0" workbookViewId="0" topLeftCell="A1">
      <selection activeCell="A2" sqref="A2"/>
    </sheetView>
  </sheetViews>
  <sheetFormatPr defaultColWidth="10.16015625" defaultRowHeight="11.25"/>
  <cols>
    <col min="1" max="1" width="14" style="0" customWidth="1"/>
    <col min="2" max="10" width="15.33203125" style="0" customWidth="1"/>
    <col min="11" max="11" width="1.83203125" style="0" customWidth="1"/>
    <col min="12" max="14" width="15.33203125" style="0" customWidth="1"/>
    <col min="15" max="15" width="4" style="0" customWidth="1"/>
    <col min="16" max="18" width="14.5" style="0" customWidth="1"/>
  </cols>
  <sheetData>
    <row r="1" spans="1:18" s="3" customFormat="1" ht="12">
      <c r="A1" s="1"/>
      <c r="B1" s="30" t="s">
        <v>0</v>
      </c>
      <c r="C1" s="30"/>
      <c r="D1" s="30"/>
      <c r="E1" s="30"/>
      <c r="F1" s="30"/>
      <c r="G1" s="30"/>
      <c r="H1" s="30" t="s">
        <v>1</v>
      </c>
      <c r="I1" s="30"/>
      <c r="J1" s="30"/>
      <c r="K1" s="2"/>
      <c r="L1" s="30" t="s">
        <v>2</v>
      </c>
      <c r="M1" s="30"/>
      <c r="N1" s="30"/>
      <c r="O1" s="2"/>
      <c r="P1" s="30" t="s">
        <v>3</v>
      </c>
      <c r="Q1" s="30"/>
      <c r="R1" s="30"/>
    </row>
    <row r="2" spans="1:256" s="9" customFormat="1" ht="12">
      <c r="A2" s="4"/>
      <c r="B2" s="5" t="s">
        <v>4</v>
      </c>
      <c r="C2" s="6" t="s">
        <v>5</v>
      </c>
      <c r="D2" s="7" t="s">
        <v>6</v>
      </c>
      <c r="E2" s="5" t="s">
        <v>4</v>
      </c>
      <c r="F2" s="6" t="s">
        <v>5</v>
      </c>
      <c r="G2" s="7" t="s">
        <v>6</v>
      </c>
      <c r="H2" s="5" t="s">
        <v>4</v>
      </c>
      <c r="I2" s="6" t="s">
        <v>5</v>
      </c>
      <c r="J2" s="7" t="s">
        <v>6</v>
      </c>
      <c r="K2" s="6"/>
      <c r="L2" s="5" t="s">
        <v>4</v>
      </c>
      <c r="M2" s="6" t="s">
        <v>5</v>
      </c>
      <c r="N2" s="7" t="s">
        <v>6</v>
      </c>
      <c r="O2" s="8"/>
      <c r="P2" s="6" t="s">
        <v>7</v>
      </c>
      <c r="Q2" s="6"/>
      <c r="R2" s="7" t="s">
        <v>8</v>
      </c>
      <c r="IS2" s="3"/>
      <c r="IT2" s="3"/>
      <c r="IU2" s="3"/>
      <c r="IV2" s="3"/>
    </row>
    <row r="3" spans="1:256" s="9" customFormat="1" ht="12.75" thickBot="1">
      <c r="A3" s="4"/>
      <c r="B3" s="10"/>
      <c r="C3" s="10"/>
      <c r="D3" s="11">
        <v>3147142.44</v>
      </c>
      <c r="E3" s="10"/>
      <c r="F3" s="10"/>
      <c r="G3" s="11">
        <v>3075268.96</v>
      </c>
      <c r="H3" s="10"/>
      <c r="I3" s="10"/>
      <c r="J3" s="11">
        <v>296865</v>
      </c>
      <c r="K3" s="10"/>
      <c r="L3" s="10"/>
      <c r="M3" s="10"/>
      <c r="N3" s="11">
        <f>D3+G3+J3</f>
        <v>6519276.4</v>
      </c>
      <c r="O3" s="10"/>
      <c r="P3" s="10"/>
      <c r="Q3" s="10"/>
      <c r="R3" s="11"/>
      <c r="IS3" s="3"/>
      <c r="IT3" s="3"/>
      <c r="IU3" s="3"/>
      <c r="IV3" s="3"/>
    </row>
    <row r="4" spans="1:18" s="3" customFormat="1" ht="12.75" thickTop="1">
      <c r="A4" s="12">
        <v>41673</v>
      </c>
      <c r="B4" s="13">
        <f>IF((D4)=(0),(0),(D4-D3+C4))</f>
        <v>89961.51999999983</v>
      </c>
      <c r="C4" s="14">
        <f>IF((P4)=(0),(0),(P4-P3))</f>
        <v>17438.2</v>
      </c>
      <c r="D4" s="15">
        <v>3219665.76</v>
      </c>
      <c r="E4" s="13">
        <f>IF((G4)=(0),(0),(G4-G3+F4))</f>
        <v>569325.88</v>
      </c>
      <c r="F4" s="14">
        <f>IF((Q4)=(0),(0),(Q4-Q3))</f>
        <v>97338.67</v>
      </c>
      <c r="G4" s="15">
        <f>440363.6+3106892.57</f>
        <v>3547256.17</v>
      </c>
      <c r="H4" s="13">
        <f>IF((J4)=(0),(0),(J4-J3+I4))</f>
        <v>0</v>
      </c>
      <c r="I4" s="14">
        <f>IF((R4)=(0),(0),(R4-R3))</f>
        <v>0</v>
      </c>
      <c r="J4" s="15">
        <v>296865</v>
      </c>
      <c r="K4" s="14"/>
      <c r="L4" s="14">
        <f aca="true" t="shared" si="0" ref="L4:M8">SUM(B4+E4+H4)</f>
        <v>659287.3999999998</v>
      </c>
      <c r="M4" s="14">
        <f t="shared" si="0"/>
        <v>114776.87</v>
      </c>
      <c r="N4" s="15">
        <f>SUM(N3+L4-M4)</f>
        <v>7063786.93</v>
      </c>
      <c r="O4" s="14"/>
      <c r="P4" s="15">
        <v>17438.2</v>
      </c>
      <c r="Q4" s="15">
        <v>97338.67</v>
      </c>
      <c r="R4" s="15">
        <v>0</v>
      </c>
    </row>
    <row r="5" spans="1:18" s="3" customFormat="1" ht="12">
      <c r="A5" s="12">
        <v>41674</v>
      </c>
      <c r="B5" s="13">
        <f>IF((D5)=(0),(0),(D5-D4+C5))</f>
        <v>26629</v>
      </c>
      <c r="C5" s="14">
        <f>IF((P5)=(0),(0),(P5-P4))</f>
        <v>44223</v>
      </c>
      <c r="D5" s="15">
        <v>3202071.76</v>
      </c>
      <c r="E5" s="13">
        <f>IF((G5)=(0),(0),(G5-G4+F5))</f>
        <v>2522.280000000159</v>
      </c>
      <c r="F5" s="14">
        <f>IF((Q5)=(0),(0),(Q5-Q4))</f>
        <v>95607.87000000001</v>
      </c>
      <c r="G5" s="15">
        <f>441817.84+3012352.74</f>
        <v>3454170.58</v>
      </c>
      <c r="H5" s="13">
        <f>IF((J5)=(0),(0),(J5-J4+I5))</f>
        <v>0</v>
      </c>
      <c r="I5" s="14">
        <f>IF((R5)=(0),(0),(R5-R4))</f>
        <v>0</v>
      </c>
      <c r="J5" s="15">
        <v>296865</v>
      </c>
      <c r="K5" s="14"/>
      <c r="L5" s="14">
        <f t="shared" si="0"/>
        <v>29151.28000000016</v>
      </c>
      <c r="M5" s="14">
        <f t="shared" si="0"/>
        <v>139830.87</v>
      </c>
      <c r="N5" s="15">
        <f>SUM(N4+L5-M5)</f>
        <v>6953107.34</v>
      </c>
      <c r="O5" s="14"/>
      <c r="P5" s="15">
        <v>61661.2</v>
      </c>
      <c r="Q5" s="15">
        <v>192946.54</v>
      </c>
      <c r="R5" s="15">
        <v>0</v>
      </c>
    </row>
    <row r="6" spans="1:18" s="3" customFormat="1" ht="12">
      <c r="A6" s="12">
        <v>41675</v>
      </c>
      <c r="B6" s="13">
        <f>IF((D6)=(0),(0),(D6-D5+C6))</f>
        <v>247639.38000000035</v>
      </c>
      <c r="C6" s="14">
        <f>IF((P6)=(0),(0),(P6-P5))</f>
        <v>31123</v>
      </c>
      <c r="D6" s="15">
        <v>3418588.14</v>
      </c>
      <c r="E6" s="13">
        <f>IF((G6)=(0),(0),(G6-G5+F6))</f>
        <v>4839.559999999969</v>
      </c>
      <c r="F6" s="14">
        <f>IF((Q6)=(0),(0),(Q6-Q5))</f>
        <v>76065.87000000002</v>
      </c>
      <c r="G6" s="15">
        <f>393609.6+2989334.67</f>
        <v>3382944.27</v>
      </c>
      <c r="H6" s="13">
        <f>IF((J6)=(0),(0),(J6-J5+I6))</f>
        <v>0</v>
      </c>
      <c r="I6" s="14">
        <f>IF((R6)=(0),(0),(R6-R5))</f>
        <v>0</v>
      </c>
      <c r="J6" s="15">
        <v>296865</v>
      </c>
      <c r="K6" s="14"/>
      <c r="L6" s="14">
        <f t="shared" si="0"/>
        <v>252478.94000000032</v>
      </c>
      <c r="M6" s="14">
        <f t="shared" si="0"/>
        <v>107188.87000000002</v>
      </c>
      <c r="N6" s="15">
        <f>SUM(N5+L6-M6)</f>
        <v>7098397.41</v>
      </c>
      <c r="O6" s="14"/>
      <c r="P6" s="15">
        <v>92784.2</v>
      </c>
      <c r="Q6" s="15">
        <f>220804.17+48208.24</f>
        <v>269012.41000000003</v>
      </c>
      <c r="R6" s="15">
        <v>0</v>
      </c>
    </row>
    <row r="7" spans="1:18" s="3" customFormat="1" ht="12">
      <c r="A7" s="12">
        <v>41676</v>
      </c>
      <c r="B7" s="13">
        <f>IF((D7)=(0),(0),(D7-D6+C7))</f>
        <v>14324.750000000015</v>
      </c>
      <c r="C7" s="14">
        <f>IF((P7)=(0),(0),(P7-P6))</f>
        <v>41961.000000000015</v>
      </c>
      <c r="D7" s="15">
        <v>3390951.89</v>
      </c>
      <c r="E7" s="13">
        <f>IF((G7)=(0),(0),(G7-G6+F7))</f>
        <v>250.25</v>
      </c>
      <c r="F7" s="14">
        <f>IF((Q7)=(0),(0),(Q7-Q6))</f>
        <v>244941.72999999998</v>
      </c>
      <c r="G7" s="15">
        <f>393609.6+2744643.19</f>
        <v>3138252.79</v>
      </c>
      <c r="H7" s="13">
        <f>IF((J7)=(0),(0),(J7-J6+I7))</f>
        <v>0</v>
      </c>
      <c r="I7" s="14">
        <f>IF((R7)=(0),(0),(R7-R6))</f>
        <v>0</v>
      </c>
      <c r="J7" s="15">
        <v>296865</v>
      </c>
      <c r="K7" s="14"/>
      <c r="L7" s="14">
        <f t="shared" si="0"/>
        <v>14575.000000000015</v>
      </c>
      <c r="M7" s="14">
        <f t="shared" si="0"/>
        <v>286902.73</v>
      </c>
      <c r="N7" s="15">
        <f>SUM(N6+L7-M7)</f>
        <v>6826069.68</v>
      </c>
      <c r="O7" s="14"/>
      <c r="P7" s="15">
        <v>134745.2</v>
      </c>
      <c r="Q7" s="15">
        <f>465745.9+48208.24</f>
        <v>513954.14</v>
      </c>
      <c r="R7" s="15">
        <v>0</v>
      </c>
    </row>
    <row r="8" spans="1:18" s="3" customFormat="1" ht="12">
      <c r="A8" s="12">
        <v>41677</v>
      </c>
      <c r="B8" s="13">
        <f>IF((D8)=(0),(0),(D8-D7+C8))</f>
        <v>71340.9999999998</v>
      </c>
      <c r="C8" s="14">
        <f>IF((P8)=(0),(0),(P8-P7))</f>
        <v>31351.199999999983</v>
      </c>
      <c r="D8" s="15">
        <v>3430941.69</v>
      </c>
      <c r="E8" s="13">
        <f>IF((G8)=(0),(0),(G8-G7+F8))</f>
        <v>58647.340000000084</v>
      </c>
      <c r="F8" s="14">
        <f>IF((Q8)=(0),(0),(Q8-Q7))</f>
        <v>176760.15999999992</v>
      </c>
      <c r="G8" s="15">
        <f>350723.62+2669416.35</f>
        <v>3020139.97</v>
      </c>
      <c r="H8" s="13">
        <f>IF((J8)=(0),(0),(J8-J7+I8))</f>
        <v>0</v>
      </c>
      <c r="I8" s="14">
        <f>IF((R8)=(0),(0),(R8-R7))</f>
        <v>0</v>
      </c>
      <c r="J8" s="15">
        <v>296865</v>
      </c>
      <c r="K8" s="14"/>
      <c r="L8" s="14">
        <f t="shared" si="0"/>
        <v>129988.33999999988</v>
      </c>
      <c r="M8" s="14">
        <f t="shared" si="0"/>
        <v>208111.3599999999</v>
      </c>
      <c r="N8" s="15">
        <f>SUM(N7+L8-M8)</f>
        <v>6747946.659999999</v>
      </c>
      <c r="O8" s="14"/>
      <c r="P8" s="15">
        <v>166096.4</v>
      </c>
      <c r="Q8" s="15">
        <f>599620.08+91094.22</f>
        <v>690714.2999999999</v>
      </c>
      <c r="R8" s="15">
        <v>0</v>
      </c>
    </row>
    <row r="9" spans="1:256" s="9" customFormat="1" ht="12">
      <c r="A9" s="4" t="s">
        <v>9</v>
      </c>
      <c r="B9" s="16">
        <f>SUM(B4:B8)</f>
        <v>449895.65</v>
      </c>
      <c r="C9" s="8">
        <f>SUM(C4:C8)</f>
        <v>166096.4</v>
      </c>
      <c r="D9" s="17"/>
      <c r="E9" s="8">
        <f>SUM(E4:E8)</f>
        <v>635585.3100000002</v>
      </c>
      <c r="F9" s="8">
        <f>SUM(F4:F8)</f>
        <v>690714.2999999999</v>
      </c>
      <c r="G9" s="15"/>
      <c r="H9" s="8">
        <f>SUM(H4:H8)</f>
        <v>0</v>
      </c>
      <c r="I9" s="8">
        <f>SUM(I4:I8)</f>
        <v>0</v>
      </c>
      <c r="J9" s="17"/>
      <c r="K9" s="8"/>
      <c r="L9" s="8">
        <f>SUM(L4:L8)</f>
        <v>1085480.9600000002</v>
      </c>
      <c r="M9" s="8">
        <f>SUM(M4:M8)</f>
        <v>856810.6999999998</v>
      </c>
      <c r="N9" s="17"/>
      <c r="O9" s="8"/>
      <c r="P9" s="17">
        <f>P8</f>
        <v>166096.4</v>
      </c>
      <c r="Q9" s="17">
        <f>Q8</f>
        <v>690714.2999999999</v>
      </c>
      <c r="R9" s="17">
        <f>R8</f>
        <v>0</v>
      </c>
      <c r="IS9" s="3"/>
      <c r="IT9" s="3"/>
      <c r="IU9" s="3"/>
      <c r="IV9" s="3"/>
    </row>
    <row r="10" spans="1:18" s="3" customFormat="1" ht="12">
      <c r="A10" s="12">
        <v>41680</v>
      </c>
      <c r="B10" s="13">
        <f>IF((D10)=(0),(0),(D10-D8+C10))</f>
        <v>23231.060000000056</v>
      </c>
      <c r="C10" s="14">
        <f>IF((P10)=(0),(0),(P10-P9))</f>
        <v>56283</v>
      </c>
      <c r="D10" s="15">
        <v>3397889.75</v>
      </c>
      <c r="E10" s="13">
        <f>IF((G10)=(0),(0),(G10-G8+F10))</f>
        <v>552580.5800000001</v>
      </c>
      <c r="F10" s="14">
        <f>IF((Q10)=(0),(0),(Q10-Q9))</f>
        <v>61755.25</v>
      </c>
      <c r="G10" s="15">
        <f>365589.06+3145376.24</f>
        <v>3510965.3000000003</v>
      </c>
      <c r="H10" s="13">
        <f>IF((J10)=(0),(0),(J10-J8+I10))</f>
        <v>0</v>
      </c>
      <c r="I10" s="14">
        <f>IF((R10)=(0),(0),(R10-R9))</f>
        <v>0</v>
      </c>
      <c r="J10" s="15">
        <v>296865</v>
      </c>
      <c r="K10" s="14"/>
      <c r="L10" s="14">
        <f aca="true" t="shared" si="1" ref="L10:M14">SUM(B10+E10+H10)</f>
        <v>575811.6400000001</v>
      </c>
      <c r="M10" s="14">
        <f t="shared" si="1"/>
        <v>118038.25</v>
      </c>
      <c r="N10" s="15">
        <f>SUM(N8+L10-M10)</f>
        <v>7205720.049999999</v>
      </c>
      <c r="O10" s="14"/>
      <c r="P10" s="15">
        <v>222379.4</v>
      </c>
      <c r="Q10" s="15">
        <f>661375.33+91094.22</f>
        <v>752469.5499999999</v>
      </c>
      <c r="R10" s="15">
        <v>0</v>
      </c>
    </row>
    <row r="11" spans="1:18" s="3" customFormat="1" ht="12">
      <c r="A11" s="12">
        <v>41681</v>
      </c>
      <c r="B11" s="13">
        <f>IF((D11)=(0),(0),(D11-D10+C11))</f>
        <v>185211.99000000025</v>
      </c>
      <c r="C11" s="14">
        <f>IF((P11)=(0),(0),(P11-P10))</f>
        <v>88535.00000000003</v>
      </c>
      <c r="D11" s="15">
        <v>3494566.74</v>
      </c>
      <c r="E11" s="13">
        <f>IF((G11)=(0),(0),(G11-G10+F11))</f>
        <v>1365.3299999997253</v>
      </c>
      <c r="F11" s="14">
        <f>IF((Q11)=(0),(0),(Q11-Q10))</f>
        <v>94170.7300000001</v>
      </c>
      <c r="G11" s="15">
        <f>365589.06+3052570.84</f>
        <v>3418159.9</v>
      </c>
      <c r="H11" s="13">
        <v>0</v>
      </c>
      <c r="I11" s="14">
        <f>IF((R11)=(0),(0),(R11-R10))</f>
        <v>0</v>
      </c>
      <c r="J11" s="15">
        <v>296865</v>
      </c>
      <c r="K11" s="14"/>
      <c r="L11" s="14">
        <f t="shared" si="1"/>
        <v>186577.31999999998</v>
      </c>
      <c r="M11" s="14">
        <f t="shared" si="1"/>
        <v>182705.73000000013</v>
      </c>
      <c r="N11" s="15">
        <f>SUM(N10+L11-M11)</f>
        <v>7209591.639999999</v>
      </c>
      <c r="O11" s="14"/>
      <c r="P11" s="15">
        <v>310914.4</v>
      </c>
      <c r="Q11" s="15">
        <f>755546.06+91094.22</f>
        <v>846640.28</v>
      </c>
      <c r="R11" s="15">
        <v>0</v>
      </c>
    </row>
    <row r="12" spans="1:18" s="3" customFormat="1" ht="12">
      <c r="A12" s="12">
        <v>41682</v>
      </c>
      <c r="B12" s="13">
        <f>IF((D12)=(0),(0),(D12-D11+C12))</f>
        <v>47465.19999999972</v>
      </c>
      <c r="C12" s="14">
        <f>IF((P12)=(0),(0),(P12-P11))</f>
        <v>4436</v>
      </c>
      <c r="D12" s="15">
        <v>3537595.94</v>
      </c>
      <c r="E12" s="13">
        <f>IF((G12)=(0),(0),(G12-G11+F12))</f>
        <v>163121.06999999983</v>
      </c>
      <c r="F12" s="14">
        <f>IF((Q12)=(0),(0),(Q12-Q11))</f>
        <v>235999.77000000002</v>
      </c>
      <c r="G12" s="15">
        <f>406643.09+2938638.11</f>
        <v>3345281.1999999997</v>
      </c>
      <c r="H12" s="13">
        <f>IF((J12)=(0),(0),(J12-J11+I12))</f>
        <v>0</v>
      </c>
      <c r="I12" s="14">
        <f>IF((R12)=(0),(0),(R12-R11))</f>
        <v>0</v>
      </c>
      <c r="J12" s="15">
        <v>296865</v>
      </c>
      <c r="K12" s="14"/>
      <c r="L12" s="14">
        <f t="shared" si="1"/>
        <v>210586.26999999955</v>
      </c>
      <c r="M12" s="14">
        <f t="shared" si="1"/>
        <v>240435.77000000002</v>
      </c>
      <c r="N12" s="15">
        <f>SUM(N11+L12-M12)</f>
        <v>7179742.139999999</v>
      </c>
      <c r="O12" s="14"/>
      <c r="P12" s="15">
        <v>315350.4</v>
      </c>
      <c r="Q12" s="15">
        <f>868088.71+214551.34</f>
        <v>1082640.05</v>
      </c>
      <c r="R12" s="15">
        <v>0</v>
      </c>
    </row>
    <row r="13" spans="1:18" s="3" customFormat="1" ht="12">
      <c r="A13" s="12">
        <v>41683</v>
      </c>
      <c r="B13" s="13">
        <f>IF((D13)=(0),(0),(D13-D12+C13))</f>
        <v>93630.45000000007</v>
      </c>
      <c r="C13" s="14">
        <f>IF((P13)=(0),(0),(P13-P12))</f>
        <v>23739.099999999977</v>
      </c>
      <c r="D13" s="15">
        <v>3607487.29</v>
      </c>
      <c r="E13" s="13">
        <f>IF((G13)=(0),(0),(G13-G12+F13))</f>
        <v>183404.05000000005</v>
      </c>
      <c r="F13" s="14">
        <f>IF((Q13)=(0),(0),(Q13-Q12))</f>
        <v>118511.71999999997</v>
      </c>
      <c r="G13" s="15">
        <f>519535.27+2890638.26</f>
        <v>3410173.53</v>
      </c>
      <c r="H13" s="13">
        <f>IF((J13)=(0),(0),(J13-J12+I13))</f>
        <v>0</v>
      </c>
      <c r="I13" s="14">
        <f>IF((R13)=(0),(0),(R13-R12))</f>
        <v>0</v>
      </c>
      <c r="J13" s="15">
        <v>296865</v>
      </c>
      <c r="K13" s="14"/>
      <c r="L13" s="14">
        <f t="shared" si="1"/>
        <v>277034.5000000001</v>
      </c>
      <c r="M13" s="14">
        <f t="shared" si="1"/>
        <v>142250.81999999995</v>
      </c>
      <c r="N13" s="15">
        <f>SUM(N12+L13-M13)</f>
        <v>7314525.819999998</v>
      </c>
      <c r="O13" s="14"/>
      <c r="P13" s="15">
        <v>339089.5</v>
      </c>
      <c r="Q13" s="15">
        <f>968455.45+232696.32</f>
        <v>1201151.77</v>
      </c>
      <c r="R13" s="15">
        <v>0</v>
      </c>
    </row>
    <row r="14" spans="1:18" s="3" customFormat="1" ht="12">
      <c r="A14" s="12">
        <v>41684</v>
      </c>
      <c r="B14" s="13">
        <f>IF((D14)=(0),(0),(D14-D13+C14))</f>
        <v>0</v>
      </c>
      <c r="C14" s="14">
        <f>IF((P14)=(0),(0),(P14-P13))</f>
        <v>0</v>
      </c>
      <c r="D14" s="15">
        <v>0</v>
      </c>
      <c r="E14" s="13">
        <f>IF((G14)=(0),(0),(G14-G13+F14))</f>
        <v>0</v>
      </c>
      <c r="F14" s="14">
        <f>IF((Q14)=(0),(0),(Q14-Q13))</f>
        <v>0</v>
      </c>
      <c r="G14" s="15">
        <v>0</v>
      </c>
      <c r="H14" s="13">
        <f>IF((J14)=(0),(0),(J14-J13+I14))</f>
        <v>0</v>
      </c>
      <c r="I14" s="14">
        <f>IF((R14)=(0),(0),(R14-R13))</f>
        <v>0</v>
      </c>
      <c r="J14" s="15">
        <v>0</v>
      </c>
      <c r="K14" s="14"/>
      <c r="L14" s="14">
        <f t="shared" si="1"/>
        <v>0</v>
      </c>
      <c r="M14" s="14">
        <f t="shared" si="1"/>
        <v>0</v>
      </c>
      <c r="N14" s="15">
        <f>SUM(N13+L14-M14)</f>
        <v>7314525.819999998</v>
      </c>
      <c r="O14" s="14"/>
      <c r="P14" s="15">
        <v>0</v>
      </c>
      <c r="Q14" s="15">
        <v>0</v>
      </c>
      <c r="R14" s="15">
        <v>0</v>
      </c>
    </row>
    <row r="15" spans="1:256" s="9" customFormat="1" ht="12">
      <c r="A15" s="4" t="s">
        <v>9</v>
      </c>
      <c r="B15" s="16">
        <f>SUM(B9:B14)</f>
        <v>799434.3500000001</v>
      </c>
      <c r="C15" s="8">
        <f>SUM(C9:C14)</f>
        <v>339089.5</v>
      </c>
      <c r="D15" s="17"/>
      <c r="E15" s="8">
        <f>SUM(E9:E14)</f>
        <v>1536056.3399999996</v>
      </c>
      <c r="F15" s="8">
        <f>SUM(F9:F14)</f>
        <v>1201151.77</v>
      </c>
      <c r="G15" s="17"/>
      <c r="H15" s="8">
        <f>SUM(H9:H14)</f>
        <v>0</v>
      </c>
      <c r="I15" s="8">
        <f>SUM(I9:I14)</f>
        <v>0</v>
      </c>
      <c r="J15" s="17"/>
      <c r="K15" s="8"/>
      <c r="L15" s="8">
        <f>SUM(L9:L14)</f>
        <v>2335490.69</v>
      </c>
      <c r="M15" s="8">
        <f>SUM(M9:M14)</f>
        <v>1540241.27</v>
      </c>
      <c r="N15" s="17"/>
      <c r="O15" s="8"/>
      <c r="P15" s="17">
        <f>P14</f>
        <v>0</v>
      </c>
      <c r="Q15" s="17">
        <f>Q14</f>
        <v>0</v>
      </c>
      <c r="R15" s="17">
        <f>R14</f>
        <v>0</v>
      </c>
      <c r="IS15" s="3"/>
      <c r="IT15" s="3"/>
      <c r="IU15" s="3"/>
      <c r="IV15" s="3"/>
    </row>
    <row r="16" spans="1:18" s="3" customFormat="1" ht="12">
      <c r="A16" s="12">
        <v>41687</v>
      </c>
      <c r="B16" s="13">
        <f>IF((D16)=(0),(0),(D16-D14+C16))</f>
        <v>0</v>
      </c>
      <c r="C16" s="14">
        <f>IF((P16)=(0),(0),(P16-P15))</f>
        <v>0</v>
      </c>
      <c r="D16" s="15">
        <v>0</v>
      </c>
      <c r="E16" s="13">
        <f>IF((G16)=(0),(0),(G16-G14+F16))</f>
        <v>0</v>
      </c>
      <c r="F16" s="14">
        <f>IF((Q16)=(0),(0),(Q16-Q15))</f>
        <v>0</v>
      </c>
      <c r="G16" s="15">
        <v>0</v>
      </c>
      <c r="H16" s="13">
        <f>IF((J16)=(0),(0),(J16-J14+I16))</f>
        <v>0</v>
      </c>
      <c r="I16" s="14">
        <f>IF((R16)=(0),(0),(R16-R15))</f>
        <v>0</v>
      </c>
      <c r="J16" s="15">
        <v>0</v>
      </c>
      <c r="K16" s="14"/>
      <c r="L16" s="14">
        <f aca="true" t="shared" si="2" ref="L16:M20">SUM(B16+E16+H16)</f>
        <v>0</v>
      </c>
      <c r="M16" s="14">
        <f t="shared" si="2"/>
        <v>0</v>
      </c>
      <c r="N16" s="15">
        <f>SUM(N14+L16-M16)</f>
        <v>7314525.819999998</v>
      </c>
      <c r="O16" s="14"/>
      <c r="P16" s="15">
        <v>0</v>
      </c>
      <c r="Q16" s="15">
        <v>0</v>
      </c>
      <c r="R16" s="15">
        <v>0</v>
      </c>
    </row>
    <row r="17" spans="1:18" s="3" customFormat="1" ht="12">
      <c r="A17" s="12">
        <v>41688</v>
      </c>
      <c r="B17" s="13">
        <f>IF((D17)=(0),(0),(D17-D16+C17))</f>
        <v>0</v>
      </c>
      <c r="C17" s="14">
        <f>IF((P17)=(0),(0),(P17-P16))</f>
        <v>0</v>
      </c>
      <c r="D17" s="15">
        <v>0</v>
      </c>
      <c r="E17" s="13">
        <f>IF((G17)=(0),(0),(G17-G16+F17))</f>
        <v>0</v>
      </c>
      <c r="F17" s="14">
        <f>IF((Q17)=(0),(0),(Q17-Q16))</f>
        <v>0</v>
      </c>
      <c r="G17" s="15">
        <v>0</v>
      </c>
      <c r="H17" s="13">
        <f>IF((J17)=(0),(0),(J17-J16+I17))</f>
        <v>0</v>
      </c>
      <c r="I17" s="14">
        <f>IF((R17)=(0),(0),(R17-R16))</f>
        <v>0</v>
      </c>
      <c r="J17" s="15">
        <v>0</v>
      </c>
      <c r="K17" s="14"/>
      <c r="L17" s="14">
        <f t="shared" si="2"/>
        <v>0</v>
      </c>
      <c r="M17" s="14">
        <f t="shared" si="2"/>
        <v>0</v>
      </c>
      <c r="N17" s="15">
        <f>SUM(N16+L17-M17)</f>
        <v>7314525.819999998</v>
      </c>
      <c r="O17" s="14"/>
      <c r="P17" s="15">
        <v>0</v>
      </c>
      <c r="Q17" s="15">
        <v>0</v>
      </c>
      <c r="R17" s="15">
        <v>0</v>
      </c>
    </row>
    <row r="18" spans="1:18" s="3" customFormat="1" ht="12">
      <c r="A18" s="12">
        <v>41689</v>
      </c>
      <c r="B18" s="13">
        <f>IF((D18)=(0),(0),(D18-D17+C18))</f>
        <v>0</v>
      </c>
      <c r="C18" s="14">
        <f>IF((P18)=(0),(0),(P18-P17))</f>
        <v>0</v>
      </c>
      <c r="D18" s="15">
        <v>0</v>
      </c>
      <c r="E18" s="13">
        <f>IF((G18)=(0),(0),(G18-G17+F18))</f>
        <v>0</v>
      </c>
      <c r="F18" s="14">
        <f>IF((Q18)=(0),(0),(Q18-Q17))</f>
        <v>0</v>
      </c>
      <c r="G18" s="15">
        <v>0</v>
      </c>
      <c r="H18" s="13">
        <f>IF((J18)=(0),(0),(J18-J17+I18))</f>
        <v>0</v>
      </c>
      <c r="I18" s="14">
        <f>IF((R18)=(0),(0),(R18-R17))</f>
        <v>0</v>
      </c>
      <c r="J18" s="15">
        <v>0</v>
      </c>
      <c r="K18" s="14"/>
      <c r="L18" s="14">
        <f t="shared" si="2"/>
        <v>0</v>
      </c>
      <c r="M18" s="14">
        <f t="shared" si="2"/>
        <v>0</v>
      </c>
      <c r="N18" s="15">
        <f>SUM(N17+L18-M18)</f>
        <v>7314525.819999998</v>
      </c>
      <c r="O18" s="14"/>
      <c r="P18" s="15">
        <v>0</v>
      </c>
      <c r="Q18" s="15">
        <v>0</v>
      </c>
      <c r="R18" s="15">
        <v>0</v>
      </c>
    </row>
    <row r="19" spans="1:18" s="3" customFormat="1" ht="12">
      <c r="A19" s="12">
        <v>41690</v>
      </c>
      <c r="B19" s="13">
        <f>IF((D19)=(0),(0),(D19-D18+C19))</f>
        <v>0</v>
      </c>
      <c r="C19" s="14">
        <f>IF((P19)=(0),(0),(P19-P18))</f>
        <v>0</v>
      </c>
      <c r="D19" s="15">
        <v>0</v>
      </c>
      <c r="E19" s="13">
        <f>IF((G19)=(0),(0),(G19-G18+F19))</f>
        <v>0</v>
      </c>
      <c r="F19" s="14">
        <f>IF((Q19)=(0),(0),(Q19-Q18))</f>
        <v>0</v>
      </c>
      <c r="G19" s="15">
        <v>0</v>
      </c>
      <c r="H19" s="13">
        <f>IF((J19)=(0),(0),(J19-J18+I19))</f>
        <v>0</v>
      </c>
      <c r="I19" s="14">
        <f>IF((R19)=(0),(0),(R19-R18))</f>
        <v>0</v>
      </c>
      <c r="J19" s="15">
        <v>0</v>
      </c>
      <c r="K19" s="14"/>
      <c r="L19" s="14">
        <f t="shared" si="2"/>
        <v>0</v>
      </c>
      <c r="M19" s="14">
        <f t="shared" si="2"/>
        <v>0</v>
      </c>
      <c r="N19" s="15">
        <f>SUM(N18+L19-M19)</f>
        <v>7314525.819999998</v>
      </c>
      <c r="O19" s="14"/>
      <c r="P19" s="15">
        <v>0</v>
      </c>
      <c r="Q19" s="15">
        <v>0</v>
      </c>
      <c r="R19" s="15">
        <v>0</v>
      </c>
    </row>
    <row r="20" spans="1:18" s="3" customFormat="1" ht="12">
      <c r="A20" s="12">
        <v>41691</v>
      </c>
      <c r="B20" s="13">
        <f>IF((D20)=(0),(0),(D20-D19+C20))</f>
        <v>0</v>
      </c>
      <c r="C20" s="14">
        <f>IF((P20)=(0),(0),(P20-P19))</f>
        <v>0</v>
      </c>
      <c r="D20" s="15">
        <v>0</v>
      </c>
      <c r="E20" s="13">
        <f>IF((G20)=(0),(0),(G20-G19+F20))</f>
        <v>0</v>
      </c>
      <c r="F20" s="14">
        <f>IF((Q20)=(0),(0),(Q20-Q19))</f>
        <v>0</v>
      </c>
      <c r="G20" s="15">
        <v>0</v>
      </c>
      <c r="H20" s="13">
        <f>IF((J20)=(0),(0),(J20-J19+I20))</f>
        <v>0</v>
      </c>
      <c r="I20" s="14">
        <f>IF((R20)=(0),(0),(R20-R19))</f>
        <v>0</v>
      </c>
      <c r="J20" s="15">
        <v>0</v>
      </c>
      <c r="K20" s="14"/>
      <c r="L20" s="14">
        <f t="shared" si="2"/>
        <v>0</v>
      </c>
      <c r="M20" s="14">
        <f t="shared" si="2"/>
        <v>0</v>
      </c>
      <c r="N20" s="15">
        <f>SUM(N19+L20-M20)</f>
        <v>7314525.819999998</v>
      </c>
      <c r="O20" s="14"/>
      <c r="P20" s="15">
        <v>0</v>
      </c>
      <c r="Q20" s="15">
        <v>0</v>
      </c>
      <c r="R20" s="15">
        <v>0</v>
      </c>
    </row>
    <row r="21" spans="1:256" s="9" customFormat="1" ht="12">
      <c r="A21" s="4" t="s">
        <v>9</v>
      </c>
      <c r="B21" s="16">
        <f>SUM(B15:B20)</f>
        <v>799434.3500000001</v>
      </c>
      <c r="C21" s="8">
        <f>SUM(C15:C20)</f>
        <v>339089.5</v>
      </c>
      <c r="D21" s="17"/>
      <c r="E21" s="8">
        <f>SUM(E15:E20)</f>
        <v>1536056.3399999996</v>
      </c>
      <c r="F21" s="8">
        <f>SUM(F15:F20)</f>
        <v>1201151.77</v>
      </c>
      <c r="G21" s="15"/>
      <c r="H21" s="8">
        <f>SUM(H15:H20)</f>
        <v>0</v>
      </c>
      <c r="I21" s="8">
        <f>SUM(I15:I20)</f>
        <v>0</v>
      </c>
      <c r="J21" s="17"/>
      <c r="K21" s="8"/>
      <c r="L21" s="8">
        <f>SUM(L15:L20)</f>
        <v>2335490.69</v>
      </c>
      <c r="M21" s="8">
        <f>SUM(M15:M20)</f>
        <v>1540241.27</v>
      </c>
      <c r="N21" s="17"/>
      <c r="O21" s="8"/>
      <c r="P21" s="17">
        <f>P20</f>
        <v>0</v>
      </c>
      <c r="Q21" s="17">
        <f>Q20</f>
        <v>0</v>
      </c>
      <c r="R21" s="17">
        <f>R20</f>
        <v>0</v>
      </c>
      <c r="IS21" s="3"/>
      <c r="IT21" s="3"/>
      <c r="IU21" s="3"/>
      <c r="IV21" s="3"/>
    </row>
    <row r="22" spans="1:18" s="3" customFormat="1" ht="12">
      <c r="A22" s="12">
        <v>41694</v>
      </c>
      <c r="B22" s="13">
        <f>IF((D22)=(0),(0),(D22-D20+C22))</f>
        <v>0</v>
      </c>
      <c r="C22" s="14">
        <f>IF((P22)=(0),(0),(P22-P21))</f>
        <v>0</v>
      </c>
      <c r="D22" s="15">
        <v>0</v>
      </c>
      <c r="E22" s="13">
        <f>IF((G22)=(0),(0),(G22-G20+F22))</f>
        <v>0</v>
      </c>
      <c r="F22" s="14">
        <f>IF((Q22)=(0),(0),(Q22-Q21))</f>
        <v>0</v>
      </c>
      <c r="G22" s="15">
        <v>0</v>
      </c>
      <c r="H22" s="13">
        <f>IF((J22)=(0),(0),(J22-J20+I22))</f>
        <v>0</v>
      </c>
      <c r="I22" s="14">
        <f>IF((R22)=(0),(0),(R22-R21))</f>
        <v>0</v>
      </c>
      <c r="J22" s="15">
        <v>0</v>
      </c>
      <c r="K22" s="14"/>
      <c r="L22" s="14">
        <f aca="true" t="shared" si="3" ref="L22:M26">SUM(B22+E22+H22)</f>
        <v>0</v>
      </c>
      <c r="M22" s="14">
        <f t="shared" si="3"/>
        <v>0</v>
      </c>
      <c r="N22" s="15">
        <f>SUM(N20+L22-M22)</f>
        <v>7314525.819999998</v>
      </c>
      <c r="O22" s="14"/>
      <c r="P22" s="15">
        <v>0</v>
      </c>
      <c r="Q22" s="15">
        <v>0</v>
      </c>
      <c r="R22" s="15">
        <v>0</v>
      </c>
    </row>
    <row r="23" spans="1:18" s="3" customFormat="1" ht="12">
      <c r="A23" s="12">
        <v>41695</v>
      </c>
      <c r="B23" s="13">
        <f>IF((D23)=(0),(0),(D23-D22+C23))</f>
        <v>0</v>
      </c>
      <c r="C23" s="14">
        <f>IF((P23)=(0),(0),(P23-P22))</f>
        <v>0</v>
      </c>
      <c r="D23" s="15">
        <v>0</v>
      </c>
      <c r="E23" s="13">
        <f>IF((G23)=(0),(0),(G23-G22+F23))</f>
        <v>0</v>
      </c>
      <c r="F23" s="14">
        <f>IF((Q23)=(0),(0),(Q23-Q22))</f>
        <v>0</v>
      </c>
      <c r="G23" s="15">
        <v>0</v>
      </c>
      <c r="H23" s="13">
        <f>IF((J23)=(0),(0),(J23-J22+I23))</f>
        <v>0</v>
      </c>
      <c r="I23" s="14">
        <f>IF((R23)=(0),(0),(R23-R22))</f>
        <v>0</v>
      </c>
      <c r="J23" s="15">
        <v>0</v>
      </c>
      <c r="K23" s="14"/>
      <c r="L23" s="14">
        <f t="shared" si="3"/>
        <v>0</v>
      </c>
      <c r="M23" s="14">
        <f t="shared" si="3"/>
        <v>0</v>
      </c>
      <c r="N23" s="15">
        <f>SUM(N22+L23-M23)</f>
        <v>7314525.819999998</v>
      </c>
      <c r="O23" s="14"/>
      <c r="P23" s="15">
        <v>0</v>
      </c>
      <c r="Q23" s="15">
        <v>0</v>
      </c>
      <c r="R23" s="15">
        <v>0</v>
      </c>
    </row>
    <row r="24" spans="1:18" s="3" customFormat="1" ht="12">
      <c r="A24" s="12">
        <v>41696</v>
      </c>
      <c r="B24" s="13">
        <f>IF((D24)=(0),(0),(D24-D23+C24))</f>
        <v>0</v>
      </c>
      <c r="C24" s="14">
        <f>IF((P24)=(0),(0),(P24-P23))</f>
        <v>0</v>
      </c>
      <c r="D24" s="15">
        <v>0</v>
      </c>
      <c r="E24" s="13">
        <f>IF((G24)=(0),(0),(G24-G23+F24))</f>
        <v>0</v>
      </c>
      <c r="F24" s="14">
        <f>IF((Q24)=(0),(0),(Q24-Q23))</f>
        <v>0</v>
      </c>
      <c r="G24" s="15">
        <v>0</v>
      </c>
      <c r="H24" s="13">
        <f>IF((J24)=(0),(0),(J24-J23+I24))</f>
        <v>0</v>
      </c>
      <c r="I24" s="14">
        <f>IF((R24)=(0),(0),(R24-R23))</f>
        <v>0</v>
      </c>
      <c r="J24" s="15">
        <v>0</v>
      </c>
      <c r="K24" s="14"/>
      <c r="L24" s="14">
        <f t="shared" si="3"/>
        <v>0</v>
      </c>
      <c r="M24" s="14">
        <f t="shared" si="3"/>
        <v>0</v>
      </c>
      <c r="N24" s="15">
        <f>SUM(N23+L24-M24)</f>
        <v>7314525.819999998</v>
      </c>
      <c r="O24" s="14"/>
      <c r="P24" s="15">
        <v>0</v>
      </c>
      <c r="Q24" s="15">
        <v>0</v>
      </c>
      <c r="R24" s="15">
        <v>0</v>
      </c>
    </row>
    <row r="25" spans="1:18" s="3" customFormat="1" ht="12">
      <c r="A25" s="12">
        <v>41697</v>
      </c>
      <c r="B25" s="13">
        <f>IF((D25)=(0),(0),(D25-D24+C25))</f>
        <v>0</v>
      </c>
      <c r="C25" s="14">
        <f>IF((P25)=(0),(0),(P25-P24))</f>
        <v>0</v>
      </c>
      <c r="D25" s="15">
        <v>0</v>
      </c>
      <c r="E25" s="13">
        <f>IF((G25)=(0),(0),(G25-G24+F25))</f>
        <v>0</v>
      </c>
      <c r="F25" s="14">
        <f>IF((Q25)=(0),(0),(Q25-Q24))</f>
        <v>0</v>
      </c>
      <c r="G25" s="15">
        <v>0</v>
      </c>
      <c r="H25" s="13">
        <f>IF((J25)=(0),(0),(J25-J24+I25))</f>
        <v>0</v>
      </c>
      <c r="I25" s="14">
        <f>IF((R25)=(0),(0),(R25-R24))</f>
        <v>0</v>
      </c>
      <c r="J25" s="15">
        <v>0</v>
      </c>
      <c r="K25" s="14"/>
      <c r="L25" s="14">
        <f t="shared" si="3"/>
        <v>0</v>
      </c>
      <c r="M25" s="14">
        <f t="shared" si="3"/>
        <v>0</v>
      </c>
      <c r="N25" s="15">
        <f>SUM(N24+L25-M25)</f>
        <v>7314525.819999998</v>
      </c>
      <c r="O25" s="14"/>
      <c r="P25" s="15">
        <v>0</v>
      </c>
      <c r="Q25" s="15">
        <v>0</v>
      </c>
      <c r="R25" s="15">
        <v>0</v>
      </c>
    </row>
    <row r="26" spans="1:18" s="3" customFormat="1" ht="12">
      <c r="A26" s="12">
        <v>41698</v>
      </c>
      <c r="B26" s="13">
        <f>IF((D26)=(0),(0),(D26-D25+C26))</f>
        <v>0</v>
      </c>
      <c r="C26" s="14">
        <f>IF((P26)=(0),(0),(P26-P25))</f>
        <v>0</v>
      </c>
      <c r="D26" s="15">
        <v>0</v>
      </c>
      <c r="E26" s="13">
        <f>IF((G26)=(0),(0),(G26-G25+F26))</f>
        <v>0</v>
      </c>
      <c r="F26" s="14">
        <f>IF((Q26)=(0),(0),(Q26-Q25))</f>
        <v>0</v>
      </c>
      <c r="G26" s="15">
        <v>0</v>
      </c>
      <c r="H26" s="13">
        <f>IF((J26)=(0),(0),(J26-J25+I26))</f>
        <v>0</v>
      </c>
      <c r="I26" s="14">
        <f>IF((R26)=(0),(0),(R26-R25))</f>
        <v>0</v>
      </c>
      <c r="J26" s="15">
        <v>0</v>
      </c>
      <c r="K26" s="14"/>
      <c r="L26" s="14">
        <f t="shared" si="3"/>
        <v>0</v>
      </c>
      <c r="M26" s="14">
        <f t="shared" si="3"/>
        <v>0</v>
      </c>
      <c r="N26" s="15">
        <f>SUM(N25+L26-M26)</f>
        <v>7314525.819999998</v>
      </c>
      <c r="O26" s="14"/>
      <c r="P26" s="15">
        <v>0</v>
      </c>
      <c r="Q26" s="15">
        <v>0</v>
      </c>
      <c r="R26" s="15">
        <v>0</v>
      </c>
    </row>
    <row r="27" spans="1:256" s="9" customFormat="1" ht="12">
      <c r="A27" s="4" t="s">
        <v>9</v>
      </c>
      <c r="B27" s="16">
        <f>SUM(B21:B26)</f>
        <v>799434.3500000001</v>
      </c>
      <c r="C27" s="8">
        <f>SUM(C21:C26)</f>
        <v>339089.5</v>
      </c>
      <c r="D27" s="15"/>
      <c r="E27" s="8">
        <f>SUM(E21:E26)</f>
        <v>1536056.3399999996</v>
      </c>
      <c r="F27" s="8">
        <f>SUM(F21:F26)</f>
        <v>1201151.77</v>
      </c>
      <c r="G27" s="17"/>
      <c r="H27" s="8">
        <f>SUM(H21:H26)</f>
        <v>0</v>
      </c>
      <c r="I27" s="8">
        <f>SUM(I21:I26)</f>
        <v>0</v>
      </c>
      <c r="J27" s="15"/>
      <c r="K27" s="8"/>
      <c r="L27" s="8">
        <f>SUM(L21:L26)</f>
        <v>2335490.69</v>
      </c>
      <c r="M27" s="8">
        <f>SUM(M21:M26)</f>
        <v>1540241.27</v>
      </c>
      <c r="N27" s="17"/>
      <c r="O27" s="8"/>
      <c r="P27" s="17">
        <f>P26</f>
        <v>0</v>
      </c>
      <c r="Q27" s="17">
        <f>Q26</f>
        <v>0</v>
      </c>
      <c r="R27" s="17">
        <f>R26</f>
        <v>0</v>
      </c>
      <c r="IS27" s="3"/>
      <c r="IT27" s="3"/>
      <c r="IU27" s="3"/>
      <c r="IV27" s="3"/>
    </row>
    <row r="28" spans="1:18" s="3" customFormat="1" ht="12">
      <c r="A28" s="12"/>
      <c r="B28" s="13">
        <f>IF((D28)=(0),(0),(D28-D26+C28))</f>
        <v>0</v>
      </c>
      <c r="C28" s="14">
        <f>IF((P28)=(0),(0),(P28-P27))</f>
        <v>0</v>
      </c>
      <c r="D28" s="15">
        <v>0</v>
      </c>
      <c r="E28" s="13">
        <f>IF((G28)=(0),(0),(G28-G26+F28))</f>
        <v>0</v>
      </c>
      <c r="F28" s="14">
        <f>IF((Q28)=(0),(0),(Q28-Q27))</f>
        <v>0</v>
      </c>
      <c r="G28" s="15">
        <v>0</v>
      </c>
      <c r="H28" s="13">
        <f>IF((J28)=(0),(0),(J28-J26+I28))</f>
        <v>0</v>
      </c>
      <c r="I28" s="14">
        <f>IF((R28)=(0),(0),(R28-R27))</f>
        <v>0</v>
      </c>
      <c r="J28" s="15">
        <v>0</v>
      </c>
      <c r="K28" s="14"/>
      <c r="L28" s="14">
        <f aca="true" t="shared" si="4" ref="L28:M32">SUM(B28+E28+H28)</f>
        <v>0</v>
      </c>
      <c r="M28" s="14">
        <f t="shared" si="4"/>
        <v>0</v>
      </c>
      <c r="N28" s="15">
        <f>SUM(N26+L28-M28)</f>
        <v>7314525.819999998</v>
      </c>
      <c r="O28" s="14"/>
      <c r="P28" s="15">
        <v>0</v>
      </c>
      <c r="Q28" s="15">
        <v>0</v>
      </c>
      <c r="R28" s="15">
        <v>0</v>
      </c>
    </row>
    <row r="29" spans="1:18" s="3" customFormat="1" ht="12">
      <c r="A29" s="12"/>
      <c r="B29" s="13">
        <f>IF((D29)=(0),(0),(D29-D28+C29))</f>
        <v>0</v>
      </c>
      <c r="C29" s="14">
        <f>IF((P29)=(0),(0),(P29-P28))</f>
        <v>0</v>
      </c>
      <c r="D29" s="15">
        <v>0</v>
      </c>
      <c r="E29" s="13">
        <f>IF((G29)=(0),(0),(G29-G28+F29))</f>
        <v>0</v>
      </c>
      <c r="F29" s="14">
        <f>IF((Q29)=(0),(0),(Q29-Q28))</f>
        <v>0</v>
      </c>
      <c r="G29" s="15">
        <v>0</v>
      </c>
      <c r="H29" s="13">
        <f>IF((J29)=(0),(0),(J29-J28+I29))</f>
        <v>0</v>
      </c>
      <c r="I29" s="14">
        <f>IF((R29)=(0),(0),(R29-R28))</f>
        <v>0</v>
      </c>
      <c r="J29" s="15">
        <v>0</v>
      </c>
      <c r="K29" s="14"/>
      <c r="L29" s="14">
        <f t="shared" si="4"/>
        <v>0</v>
      </c>
      <c r="M29" s="14">
        <f t="shared" si="4"/>
        <v>0</v>
      </c>
      <c r="N29" s="15">
        <f>SUM(N28+L29-M29)</f>
        <v>7314525.819999998</v>
      </c>
      <c r="O29" s="14"/>
      <c r="P29" s="15">
        <v>0</v>
      </c>
      <c r="Q29" s="15">
        <v>0</v>
      </c>
      <c r="R29" s="15">
        <v>0</v>
      </c>
    </row>
    <row r="30" spans="1:18" s="3" customFormat="1" ht="12">
      <c r="A30" s="12"/>
      <c r="B30" s="13">
        <f>IF((D30)=(0),(0),(D30-D29+C30))</f>
        <v>0</v>
      </c>
      <c r="C30" s="14">
        <f>IF((P30)=(0),(0),(P30-P29))</f>
        <v>0</v>
      </c>
      <c r="D30" s="15">
        <v>0</v>
      </c>
      <c r="E30" s="13">
        <f>IF((G30)=(0),(0),(G30-G29+F30))</f>
        <v>0</v>
      </c>
      <c r="F30" s="14">
        <f>IF((Q30)=(0),(0),(Q30-Q29))</f>
        <v>0</v>
      </c>
      <c r="G30" s="15">
        <v>0</v>
      </c>
      <c r="H30" s="13">
        <f>IF((J30)=(0),(0),(J30-J29+I30))</f>
        <v>0</v>
      </c>
      <c r="I30" s="14">
        <f>IF((R30)=(0),(0),(R30-R29))</f>
        <v>0</v>
      </c>
      <c r="J30" s="15">
        <v>0</v>
      </c>
      <c r="K30" s="14"/>
      <c r="L30" s="14">
        <f t="shared" si="4"/>
        <v>0</v>
      </c>
      <c r="M30" s="14">
        <f t="shared" si="4"/>
        <v>0</v>
      </c>
      <c r="N30" s="15">
        <f>SUM(N29+L30-M30)</f>
        <v>7314525.819999998</v>
      </c>
      <c r="O30" s="14"/>
      <c r="P30" s="15">
        <v>0</v>
      </c>
      <c r="Q30" s="15">
        <v>0</v>
      </c>
      <c r="R30" s="15">
        <v>0</v>
      </c>
    </row>
    <row r="31" spans="1:18" s="3" customFormat="1" ht="12">
      <c r="A31" s="12"/>
      <c r="B31" s="13">
        <f>IF((D31)=(0),(0),(D31-D30+C31))</f>
        <v>0</v>
      </c>
      <c r="C31" s="14">
        <f>IF((P31)=(0),(0),(P31-P30))</f>
        <v>0</v>
      </c>
      <c r="D31" s="15">
        <v>0</v>
      </c>
      <c r="E31" s="13">
        <f>IF((G31)=(0),(0),(G31-G30+F31))</f>
        <v>0</v>
      </c>
      <c r="F31" s="14">
        <f>IF((Q31)=(0),(0),(Q31-Q30))</f>
        <v>0</v>
      </c>
      <c r="G31" s="15">
        <v>0</v>
      </c>
      <c r="H31" s="13">
        <f>IF((J31)=(0),(0),(J31-J30+I31))</f>
        <v>0</v>
      </c>
      <c r="I31" s="14">
        <f>IF((R31)=(0),(0),(R31-R30))</f>
        <v>0</v>
      </c>
      <c r="J31" s="15">
        <v>0</v>
      </c>
      <c r="K31" s="14"/>
      <c r="L31" s="14">
        <f t="shared" si="4"/>
        <v>0</v>
      </c>
      <c r="M31" s="14">
        <f t="shared" si="4"/>
        <v>0</v>
      </c>
      <c r="N31" s="15">
        <f>SUM(N30+L31-M31)</f>
        <v>7314525.819999998</v>
      </c>
      <c r="O31" s="14"/>
      <c r="P31" s="15">
        <v>0</v>
      </c>
      <c r="Q31" s="15">
        <v>0</v>
      </c>
      <c r="R31" s="15">
        <v>0</v>
      </c>
    </row>
    <row r="32" spans="1:18" s="3" customFormat="1" ht="12">
      <c r="A32" s="12"/>
      <c r="B32" s="13">
        <f>IF((D32)=(0),(0),(D32-D31+C32))</f>
        <v>0</v>
      </c>
      <c r="C32" s="14">
        <f>IF((P32)=(0),(0),(P32-P31))</f>
        <v>0</v>
      </c>
      <c r="D32" s="15">
        <v>0</v>
      </c>
      <c r="E32" s="13">
        <f>IF((G32)=(0),(0),(G32-G31+F32))</f>
        <v>0</v>
      </c>
      <c r="F32" s="14">
        <f>IF((Q32)=(0),(0),(Q32-Q31))</f>
        <v>0</v>
      </c>
      <c r="G32" s="15">
        <v>0</v>
      </c>
      <c r="H32" s="13">
        <f>IF((J32)=(0),(0),(J32-J31+I32))</f>
        <v>0</v>
      </c>
      <c r="I32" s="14">
        <f>IF((R32)=(0),(0),(R32-R31))</f>
        <v>0</v>
      </c>
      <c r="J32" s="15">
        <v>0</v>
      </c>
      <c r="K32" s="14"/>
      <c r="L32" s="14">
        <f t="shared" si="4"/>
        <v>0</v>
      </c>
      <c r="M32" s="14">
        <f t="shared" si="4"/>
        <v>0</v>
      </c>
      <c r="N32" s="15">
        <f>SUM(N31+L32-M32)</f>
        <v>7314525.819999998</v>
      </c>
      <c r="O32" s="14"/>
      <c r="P32" s="15">
        <v>0</v>
      </c>
      <c r="Q32" s="15">
        <v>0</v>
      </c>
      <c r="R32" s="15">
        <v>0</v>
      </c>
    </row>
    <row r="33" spans="1:256" s="9" customFormat="1" ht="12">
      <c r="A33" s="18" t="s">
        <v>9</v>
      </c>
      <c r="B33" s="19">
        <f>SUM(B27:B32)</f>
        <v>799434.3500000001</v>
      </c>
      <c r="C33" s="10">
        <f>SUM(C27:C32)</f>
        <v>339089.5</v>
      </c>
      <c r="D33" s="11"/>
      <c r="E33" s="19">
        <f>SUM(E27:E32)</f>
        <v>1536056.3399999996</v>
      </c>
      <c r="F33" s="10">
        <f>SUM(F27:F32)</f>
        <v>1201151.77</v>
      </c>
      <c r="G33" s="11"/>
      <c r="H33" s="19">
        <f>SUM(H27:H32)</f>
        <v>0</v>
      </c>
      <c r="I33" s="10">
        <f>SUM(I27:I32)</f>
        <v>0</v>
      </c>
      <c r="J33" s="11"/>
      <c r="K33" s="19"/>
      <c r="L33" s="10">
        <f>SUM(L27:L32)</f>
        <v>2335490.69</v>
      </c>
      <c r="M33" s="10">
        <f>SUM(M27:M32)</f>
        <v>1540241.27</v>
      </c>
      <c r="N33" s="11"/>
      <c r="O33" s="19"/>
      <c r="P33" s="11">
        <f>P32</f>
        <v>0</v>
      </c>
      <c r="Q33" s="11">
        <f>Q32</f>
        <v>0</v>
      </c>
      <c r="R33" s="11">
        <f>R32</f>
        <v>0</v>
      </c>
      <c r="IS33" s="3"/>
      <c r="IT33" s="3"/>
      <c r="IU33" s="3"/>
      <c r="IV33" s="3"/>
    </row>
    <row r="34" spans="1:18" s="3" customFormat="1" ht="12">
      <c r="A34" s="20" t="s">
        <v>10</v>
      </c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</row>
    <row r="35" spans="1:256" s="23" customFormat="1" ht="12">
      <c r="A35" s="21"/>
      <c r="B35" s="22">
        <f>SUM(B33/L45)</f>
        <v>88826.0388888889</v>
      </c>
      <c r="C35" s="14"/>
      <c r="D35" s="14"/>
      <c r="E35" s="22">
        <f>SUM(E33/L45)</f>
        <v>170672.92666666664</v>
      </c>
      <c r="F35" s="14"/>
      <c r="G35" s="14"/>
      <c r="H35" s="22">
        <f>SUM(H33/L45)</f>
        <v>0</v>
      </c>
      <c r="I35" s="14"/>
      <c r="J35" s="14"/>
      <c r="K35" s="14"/>
      <c r="L35" s="22">
        <f>SUM(L33/L45)</f>
        <v>259498.96555555554</v>
      </c>
      <c r="M35" s="14"/>
      <c r="N35" s="14"/>
      <c r="O35" s="14"/>
      <c r="P35" s="14"/>
      <c r="Q35" s="14"/>
      <c r="R35" s="14"/>
      <c r="IS35" s="3"/>
      <c r="IT35" s="3"/>
      <c r="IU35" s="3"/>
      <c r="IV35" s="3"/>
    </row>
    <row r="36" spans="1:256" s="23" customFormat="1" ht="12">
      <c r="A36" s="21"/>
      <c r="B36" s="24"/>
      <c r="C36" s="14"/>
      <c r="D36" s="14"/>
      <c r="E36" s="24"/>
      <c r="F36" s="14"/>
      <c r="G36" s="14"/>
      <c r="H36" s="24"/>
      <c r="I36" s="14"/>
      <c r="J36" s="14"/>
      <c r="K36" s="14"/>
      <c r="L36" s="24"/>
      <c r="M36" s="14"/>
      <c r="N36" s="14"/>
      <c r="O36" s="14"/>
      <c r="P36" s="14"/>
      <c r="Q36" s="14"/>
      <c r="R36" s="14"/>
      <c r="IS36" s="3"/>
      <c r="IT36" s="3"/>
      <c r="IU36" s="3"/>
      <c r="IV36" s="3"/>
    </row>
    <row r="37" spans="1:18" s="3" customFormat="1" ht="12">
      <c r="A37" s="25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 t="s">
        <v>11</v>
      </c>
      <c r="M37" s="14"/>
      <c r="N37" s="26" t="s">
        <v>12</v>
      </c>
      <c r="O37" s="14"/>
      <c r="P37" s="14"/>
      <c r="Q37" s="14"/>
      <c r="R37" s="14"/>
    </row>
    <row r="38" spans="1:18" s="3" customFormat="1" ht="12">
      <c r="A38" s="25" t="s">
        <v>13</v>
      </c>
      <c r="B38" s="14">
        <v>1226451.8600000003</v>
      </c>
      <c r="C38" s="14">
        <v>1215576.12</v>
      </c>
      <c r="D38" s="14"/>
      <c r="E38" s="14">
        <v>2961661.94</v>
      </c>
      <c r="F38" s="14">
        <v>2547436.22</v>
      </c>
      <c r="G38" s="14"/>
      <c r="H38" s="14">
        <v>0</v>
      </c>
      <c r="I38" s="14">
        <v>54970</v>
      </c>
      <c r="J38" s="27"/>
      <c r="K38" s="27"/>
      <c r="L38" s="14">
        <v>21</v>
      </c>
      <c r="M38" s="14"/>
      <c r="N38" s="14">
        <v>6028118</v>
      </c>
      <c r="O38" s="14"/>
      <c r="P38" s="14"/>
      <c r="Q38" s="14"/>
      <c r="R38" s="14"/>
    </row>
    <row r="39" spans="1:18" s="3" customFormat="1" ht="12">
      <c r="A39" s="25" t="s">
        <v>14</v>
      </c>
      <c r="B39" s="14">
        <v>1108284</v>
      </c>
      <c r="C39" s="14">
        <v>1169001</v>
      </c>
      <c r="D39" s="14"/>
      <c r="E39" s="14">
        <v>2041212</v>
      </c>
      <c r="F39" s="14">
        <v>2702382</v>
      </c>
      <c r="G39" s="14"/>
      <c r="H39" s="14">
        <v>0</v>
      </c>
      <c r="I39" s="14">
        <v>0</v>
      </c>
      <c r="J39" s="27"/>
      <c r="K39" s="14"/>
      <c r="L39" s="14">
        <v>22</v>
      </c>
      <c r="M39" s="14"/>
      <c r="N39" s="14">
        <v>5306232</v>
      </c>
      <c r="O39" s="14"/>
      <c r="P39" s="14"/>
      <c r="Q39" s="14"/>
      <c r="R39" s="14"/>
    </row>
    <row r="40" spans="1:18" s="3" customFormat="1" ht="12">
      <c r="A40" s="25" t="s">
        <v>15</v>
      </c>
      <c r="B40" s="14">
        <v>1037493.6100000001</v>
      </c>
      <c r="C40" s="14">
        <v>1075534.2</v>
      </c>
      <c r="D40" s="14"/>
      <c r="E40" s="14">
        <v>2944138.6500000004</v>
      </c>
      <c r="F40" s="14">
        <v>2364241.1</v>
      </c>
      <c r="G40" s="14"/>
      <c r="H40" s="14">
        <v>0</v>
      </c>
      <c r="I40" s="14">
        <v>109940</v>
      </c>
      <c r="J40" s="14"/>
      <c r="K40" s="14"/>
      <c r="L40" s="14">
        <v>20</v>
      </c>
      <c r="M40" s="14"/>
      <c r="N40" s="24">
        <v>5738149</v>
      </c>
      <c r="O40" s="14"/>
      <c r="P40" s="14"/>
      <c r="Q40" s="14"/>
      <c r="R40" s="14"/>
    </row>
    <row r="41" spans="1:18" s="3" customFormat="1" ht="12">
      <c r="A41" s="25" t="s">
        <v>16</v>
      </c>
      <c r="B41" s="14">
        <v>1585576.9599999997</v>
      </c>
      <c r="C41" s="14">
        <v>1189840.2</v>
      </c>
      <c r="D41" s="14"/>
      <c r="E41" s="14">
        <v>2281469.1500000004</v>
      </c>
      <c r="F41" s="14">
        <v>2692943.62</v>
      </c>
      <c r="G41" s="14"/>
      <c r="H41" s="14">
        <v>525</v>
      </c>
      <c r="I41" s="14">
        <v>54970</v>
      </c>
      <c r="J41" s="14"/>
      <c r="K41" s="14"/>
      <c r="L41" s="14">
        <v>23</v>
      </c>
      <c r="M41" s="14"/>
      <c r="N41" s="24">
        <v>5667966</v>
      </c>
      <c r="O41" s="14"/>
      <c r="P41" s="14"/>
      <c r="Q41" s="14"/>
      <c r="R41" s="14"/>
    </row>
    <row r="42" spans="1:18" s="3" customFormat="1" ht="12">
      <c r="A42" s="25" t="s">
        <v>17</v>
      </c>
      <c r="B42" s="14">
        <v>956646.9300000002</v>
      </c>
      <c r="C42" s="14">
        <v>1238027.6</v>
      </c>
      <c r="D42" s="14"/>
      <c r="E42" s="14">
        <v>1845213.9000000004</v>
      </c>
      <c r="F42" s="14">
        <v>2155894.0300000003</v>
      </c>
      <c r="G42" s="14"/>
      <c r="H42" s="14">
        <v>296340</v>
      </c>
      <c r="I42" s="14">
        <v>54970</v>
      </c>
      <c r="J42" s="14"/>
      <c r="K42" s="14"/>
      <c r="L42" s="14">
        <v>19</v>
      </c>
      <c r="M42" s="14"/>
      <c r="N42" s="14">
        <v>5317275</v>
      </c>
      <c r="O42" s="14"/>
      <c r="P42" s="14"/>
      <c r="Q42" s="14"/>
      <c r="R42" s="14"/>
    </row>
    <row r="43" spans="1:18" s="3" customFormat="1" ht="12">
      <c r="A43" s="25" t="s">
        <v>18</v>
      </c>
      <c r="B43" s="14">
        <v>950682.2200000002</v>
      </c>
      <c r="C43" s="14">
        <v>1048874</v>
      </c>
      <c r="D43" s="14"/>
      <c r="E43" s="14">
        <v>2902577.32</v>
      </c>
      <c r="F43" s="14">
        <v>1649368.12</v>
      </c>
      <c r="G43" s="14"/>
      <c r="H43" s="14">
        <v>7296</v>
      </c>
      <c r="I43" s="14">
        <v>0</v>
      </c>
      <c r="J43" s="14"/>
      <c r="K43" s="14"/>
      <c r="L43" s="14">
        <v>20</v>
      </c>
      <c r="M43" s="14"/>
      <c r="N43" s="14">
        <v>6479588</v>
      </c>
      <c r="O43" s="14"/>
      <c r="P43" s="14"/>
      <c r="Q43" s="14"/>
      <c r="R43" s="14"/>
    </row>
    <row r="44" spans="1:18" s="3" customFormat="1" ht="12">
      <c r="A44" s="25" t="s">
        <v>19</v>
      </c>
      <c r="B44" s="14">
        <v>1546757.8199999996</v>
      </c>
      <c r="C44" s="14">
        <v>1150227.6</v>
      </c>
      <c r="D44" s="14"/>
      <c r="E44" s="14">
        <v>2511816.59</v>
      </c>
      <c r="F44" s="14">
        <v>2861362.83</v>
      </c>
      <c r="G44" s="14"/>
      <c r="H44" s="14">
        <v>0</v>
      </c>
      <c r="I44" s="14">
        <v>7296</v>
      </c>
      <c r="J44" s="14"/>
      <c r="K44" s="14"/>
      <c r="L44" s="14">
        <v>22</v>
      </c>
      <c r="M44" s="14"/>
      <c r="N44" s="14">
        <v>6519276</v>
      </c>
      <c r="O44" s="14"/>
      <c r="P44" s="14"/>
      <c r="Q44" s="14"/>
      <c r="R44" s="14"/>
    </row>
    <row r="45" spans="1:18" s="3" customFormat="1" ht="12">
      <c r="A45" s="25" t="s">
        <v>20</v>
      </c>
      <c r="B45" s="14">
        <f>B33</f>
        <v>799434.3500000001</v>
      </c>
      <c r="C45" s="14">
        <f>C33</f>
        <v>339089.5</v>
      </c>
      <c r="D45" s="14"/>
      <c r="E45" s="14">
        <f>E33</f>
        <v>1536056.3399999996</v>
      </c>
      <c r="F45" s="14">
        <f>F33</f>
        <v>1201151.77</v>
      </c>
      <c r="G45" s="14"/>
      <c r="H45" s="14">
        <f>H33</f>
        <v>0</v>
      </c>
      <c r="I45" s="14">
        <f>I33</f>
        <v>0</v>
      </c>
      <c r="J45" s="14"/>
      <c r="K45" s="14"/>
      <c r="L45" s="14">
        <v>9</v>
      </c>
      <c r="M45" s="14"/>
      <c r="N45" s="14"/>
      <c r="O45" s="14"/>
      <c r="P45" s="14"/>
      <c r="Q45" s="14"/>
      <c r="R45" s="14"/>
    </row>
    <row r="46" spans="1:18" s="3" customFormat="1" ht="12">
      <c r="A46" s="25" t="s">
        <v>21</v>
      </c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</row>
    <row r="47" spans="1:18" s="3" customFormat="1" ht="12">
      <c r="A47" s="25" t="s">
        <v>22</v>
      </c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24"/>
      <c r="O47" s="14"/>
      <c r="P47" s="14"/>
      <c r="Q47" s="14"/>
      <c r="R47" s="14"/>
    </row>
    <row r="48" spans="1:18" s="3" customFormat="1" ht="12">
      <c r="A48" s="25" t="s">
        <v>23</v>
      </c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</row>
    <row r="49" spans="1:18" s="3" customFormat="1" ht="12">
      <c r="A49" s="25" t="s">
        <v>24</v>
      </c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14"/>
      <c r="M49" s="14"/>
      <c r="N49" s="14"/>
      <c r="O49" s="14"/>
      <c r="P49" s="14"/>
      <c r="Q49" s="14"/>
      <c r="R49" s="14"/>
    </row>
    <row r="50" spans="1:18" s="9" customFormat="1" ht="12">
      <c r="A50" s="20" t="s">
        <v>25</v>
      </c>
      <c r="B50" s="8">
        <f>SUM(B38:B49)</f>
        <v>9211327.750000002</v>
      </c>
      <c r="C50" s="8">
        <f>SUM(C38:C49)</f>
        <v>8426170.22</v>
      </c>
      <c r="D50" s="8"/>
      <c r="E50" s="8">
        <f>SUM(E38:E49)</f>
        <v>19024145.89</v>
      </c>
      <c r="F50" s="8">
        <f>SUM(F38:F49)</f>
        <v>18174779.69</v>
      </c>
      <c r="G50" s="8"/>
      <c r="H50" s="8">
        <f>SUM(H38:H49)</f>
        <v>304161</v>
      </c>
      <c r="I50" s="8">
        <f>SUM(I38:I49)</f>
        <v>282146</v>
      </c>
      <c r="J50" s="8"/>
      <c r="K50" s="8"/>
      <c r="L50" s="8">
        <f>SUM(L38:L49)</f>
        <v>156</v>
      </c>
      <c r="M50" s="8"/>
      <c r="N50" s="8"/>
      <c r="O50" s="8"/>
      <c r="P50" s="8"/>
      <c r="Q50" s="8"/>
      <c r="R50" s="8"/>
    </row>
    <row r="51" spans="1:18" s="3" customFormat="1" ht="12">
      <c r="A51" s="20" t="s">
        <v>26</v>
      </c>
      <c r="B51" s="8"/>
      <c r="C51" s="8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</row>
    <row r="52" spans="1:18" s="3" customFormat="1" ht="12">
      <c r="A52" s="25"/>
      <c r="B52" s="22">
        <f>SUM(B50/L50)</f>
        <v>59046.972756410265</v>
      </c>
      <c r="C52" s="14"/>
      <c r="D52" s="14"/>
      <c r="E52" s="22">
        <f>E50/L50</f>
        <v>121949.65314102564</v>
      </c>
      <c r="F52" s="14"/>
      <c r="G52" s="14"/>
      <c r="H52" s="22">
        <f>SUM(H50/L50)</f>
        <v>1949.75</v>
      </c>
      <c r="I52" s="14"/>
      <c r="J52" s="14"/>
      <c r="K52" s="14"/>
      <c r="L52" s="22">
        <f>(H50+E50+B50)/L50</f>
        <v>182946.3758974359</v>
      </c>
      <c r="M52" s="14"/>
      <c r="N52" s="14"/>
      <c r="O52" s="14"/>
      <c r="P52" s="14"/>
      <c r="Q52" s="14"/>
      <c r="R52" s="14"/>
    </row>
    <row r="53" spans="1:18" s="3" customFormat="1" ht="12">
      <c r="A53" s="25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</row>
    <row r="54" spans="1:18" s="3" customFormat="1" ht="12">
      <c r="A54" s="20" t="s">
        <v>27</v>
      </c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</row>
    <row r="55" spans="1:18" s="3" customFormat="1" ht="12">
      <c r="A55" s="25" t="s">
        <v>28</v>
      </c>
      <c r="B55" s="28">
        <f>19511044.38/252</f>
        <v>77424.77928571428</v>
      </c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</row>
    <row r="56" spans="1:18" s="3" customFormat="1" ht="12">
      <c r="A56" s="25" t="s">
        <v>29</v>
      </c>
      <c r="B56" s="28">
        <f>24094085.73/252</f>
        <v>95611.4513095238</v>
      </c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</row>
    <row r="57" spans="1:18" s="3" customFormat="1" ht="12">
      <c r="A57" s="25" t="s">
        <v>8</v>
      </c>
      <c r="B57" s="28">
        <f>471015/252</f>
        <v>1869.107142857143</v>
      </c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</row>
    <row r="58" spans="1:18" s="3" customFormat="1" ht="12">
      <c r="A58" s="25"/>
      <c r="B58" s="29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</row>
    <row r="59" spans="1:18" s="3" customFormat="1" ht="12">
      <c r="A59" s="20" t="s">
        <v>30</v>
      </c>
      <c r="B59" s="14">
        <f>SUM(B55:B58)</f>
        <v>174905.33773809523</v>
      </c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</row>
    <row r="60" spans="1:18" s="3" customFormat="1" ht="12">
      <c r="A60" s="25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</row>
    <row r="61" spans="1:18" s="3" customFormat="1" ht="12">
      <c r="A61" s="20" t="s">
        <v>32</v>
      </c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</row>
    <row r="62" spans="1:18" s="3" customFormat="1" ht="12">
      <c r="A62" s="25" t="s">
        <v>28</v>
      </c>
      <c r="B62" s="14">
        <v>1739991.27</v>
      </c>
      <c r="C62" s="14">
        <f>B62/20</f>
        <v>86999.5635</v>
      </c>
      <c r="D62" s="14" t="s">
        <v>31</v>
      </c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</row>
    <row r="63" spans="1:18" s="3" customFormat="1" ht="12">
      <c r="A63" s="25" t="s">
        <v>29</v>
      </c>
      <c r="B63" s="14">
        <v>1818140.21</v>
      </c>
      <c r="C63" s="14">
        <f>B63/20</f>
        <v>90907.0105</v>
      </c>
      <c r="D63" s="14" t="s">
        <v>31</v>
      </c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</row>
    <row r="64" spans="1:18" s="3" customFormat="1" ht="12">
      <c r="A64" s="25" t="s">
        <v>8</v>
      </c>
      <c r="B64" s="14">
        <v>49390</v>
      </c>
      <c r="C64" s="14">
        <f>B64/20</f>
        <v>2469.5</v>
      </c>
      <c r="D64" s="14" t="s">
        <v>31</v>
      </c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</row>
    <row r="65" spans="1:18" s="3" customFormat="1" ht="12">
      <c r="A65" s="25"/>
      <c r="B65" s="29"/>
      <c r="C65" s="29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</row>
    <row r="66" spans="1:18" s="3" customFormat="1" ht="12">
      <c r="A66" s="20" t="s">
        <v>30</v>
      </c>
      <c r="B66" s="14">
        <f>SUM(B62:B65)</f>
        <v>3607521.48</v>
      </c>
      <c r="C66" s="14">
        <f>SUM(C62:C65)</f>
        <v>180376.07400000002</v>
      </c>
      <c r="D66" s="14" t="s">
        <v>31</v>
      </c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</row>
    <row r="67" spans="1:18" s="3" customFormat="1" ht="12">
      <c r="A67" s="25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</row>
    <row r="68" spans="1:18" s="3" customFormat="1" ht="12">
      <c r="A68" s="20" t="s">
        <v>33</v>
      </c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</row>
    <row r="69" spans="1:18" s="3" customFormat="1" ht="12">
      <c r="A69" s="25"/>
      <c r="B69" s="14"/>
      <c r="C69" s="22">
        <f>C33/L45</f>
        <v>37676.61111111111</v>
      </c>
      <c r="D69" s="14"/>
      <c r="E69" s="14"/>
      <c r="F69" s="22">
        <f>F33/L45</f>
        <v>133461.30777777778</v>
      </c>
      <c r="G69" s="14"/>
      <c r="H69" s="14"/>
      <c r="I69" s="22">
        <f>I33/L45</f>
        <v>0</v>
      </c>
      <c r="J69" s="14"/>
      <c r="K69" s="14"/>
      <c r="L69" s="14"/>
      <c r="M69" s="22">
        <f>M33/L45</f>
        <v>171137.9188888889</v>
      </c>
      <c r="N69" s="14"/>
      <c r="O69" s="14"/>
      <c r="P69" s="14"/>
      <c r="Q69" s="14"/>
      <c r="R69" s="14"/>
    </row>
    <row r="70" spans="1:18" s="3" customFormat="1" ht="12">
      <c r="A70" s="20" t="s">
        <v>34</v>
      </c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</row>
    <row r="71" spans="1:18" s="3" customFormat="1" ht="12">
      <c r="A71" s="25"/>
      <c r="B71" s="14"/>
      <c r="C71" s="22">
        <v>52283</v>
      </c>
      <c r="D71" s="14"/>
      <c r="E71" s="14"/>
      <c r="F71" s="22">
        <v>130062</v>
      </c>
      <c r="G71" s="14"/>
      <c r="H71" s="14"/>
      <c r="I71" s="22">
        <v>332</v>
      </c>
      <c r="J71" s="14"/>
      <c r="K71" s="14"/>
      <c r="L71" s="14"/>
      <c r="M71" s="22">
        <v>182677</v>
      </c>
      <c r="N71" s="14"/>
      <c r="O71" s="14"/>
      <c r="P71" s="14"/>
      <c r="Q71" s="14"/>
      <c r="R71" s="14"/>
    </row>
  </sheetData>
  <sheetProtection selectLockedCells="1" selectUnlockedCells="1"/>
  <mergeCells count="5">
    <mergeCell ref="B1:D1"/>
    <mergeCell ref="E1:G1"/>
    <mergeCell ref="H1:J1"/>
    <mergeCell ref="L1:N1"/>
    <mergeCell ref="P1:R1"/>
  </mergeCells>
  <printOptions horizontalCentered="1"/>
  <pageMargins left="0.25" right="0.25" top="0.75" bottom="0.75" header="0.3" footer="0.3"/>
  <pageSetup fitToHeight="1" fitToWidth="1" horizontalDpi="300" verticalDpi="300" orientation="landscape" scale="64" r:id="rId1"/>
  <headerFooter alignWithMargins="0">
    <oddHeader>&amp;L&amp;"Arial,Bold"&amp;9February FY2014
20 Shipping Days&amp;C&amp;"Arial,Bold"&amp;11Rosenboom - Ohio Division
Daily Backlog/Dollars Report&amp;R&amp;"Arial,Bold"&amp;9&amp;D
&amp;F</oddHeader>
    <oddFooter>&amp;R&amp;"Arial,Bold"Prepared by: S. Hillard-Mallow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Shelly Hillard</dc:creator>
  <cp:keywords/>
  <dc:description/>
  <cp:lastModifiedBy>Joe Konecny</cp:lastModifiedBy>
  <cp:lastPrinted>2014-02-04T13:11:56Z</cp:lastPrinted>
  <dcterms:created xsi:type="dcterms:W3CDTF">2014-02-04T13:09:37Z</dcterms:created>
  <dcterms:modified xsi:type="dcterms:W3CDTF">2014-02-14T19:09:56Z</dcterms:modified>
  <cp:category/>
  <cp:version/>
  <cp:contentType/>
  <cp:contentStatus/>
</cp:coreProperties>
</file>