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3" activeTab="4"/>
  </bookViews>
  <sheets>
    <sheet name="Carcazas" sheetId="1" r:id="rId1"/>
    <sheet name="Bridas" sheetId="2" r:id="rId2"/>
    <sheet name="Tubos" sheetId="3" r:id="rId3"/>
    <sheet name="Tapas, Fondos y Conjuntos" sheetId="4" r:id="rId4"/>
    <sheet name="Juntas" sheetId="5" r:id="rId5"/>
    <sheet name="Cajas" sheetId="6" r:id="rId6"/>
    <sheet name="Listado de Compras (General)" sheetId="7" r:id="rId7"/>
    <sheet name="Notas" sheetId="8" r:id="rId8"/>
  </sheets>
  <definedNames>
    <definedName name="Excel_BuiltIn_Print_Area" localSheetId="0">NA()</definedName>
    <definedName name="Excel_BuiltIn_Sheet_Title" localSheetId="0">"Carcazas"</definedName>
    <definedName name="Excel_BuiltIn_Print_Area" localSheetId="1">NA()</definedName>
    <definedName name="Excel_BuiltIn_Sheet_Title" localSheetId="1">"Bridas"</definedName>
    <definedName name="Excel_BuiltIn_Print_Area" localSheetId="2">NA()</definedName>
    <definedName name="Excel_BuiltIn_Sheet_Title" localSheetId="2">"Tubos"</definedName>
    <definedName name="Excel_BuiltIn_Print_Area" localSheetId="3">NA()</definedName>
    <definedName name="Excel_BuiltIn_Sheet_Title" localSheetId="3">"Tapas, Fondos y Conjuntos"</definedName>
    <definedName name="Excel_BuiltIn_Print_Area" localSheetId="4">NA()</definedName>
    <definedName name="Excel_BuiltIn_Sheet_Title" localSheetId="4">"Juntas"</definedName>
    <definedName name="Excel_BuiltIn_Print_Area" localSheetId="5">NA()</definedName>
    <definedName name="Excel_BuiltIn_Sheet_Title" localSheetId="5">"Cajas"</definedName>
    <definedName name="Excel_BuiltIn_Print_Area" localSheetId="6">NA()</definedName>
    <definedName name="Excel_BuiltIn_Sheet_Title" localSheetId="6">"Listado de Compras (General)"</definedName>
    <definedName name="Excel_BuiltIn_Print_Area" localSheetId="7">NA()</definedName>
    <definedName name="Excel_BuiltIn_Sheet_Title" localSheetId="7">"Notas"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indexed="8"/>
            <rFont val="Arial"/>
            <family val="2"/>
          </rPr>
          <t>Pegar sobre la chapa de las tapas</t>
        </r>
      </text>
    </comment>
    <comment ref="A105" authorId="0">
      <text>
        <r>
          <rPr>
            <sz val="10"/>
            <color indexed="8"/>
            <rFont val="Arial"/>
            <family val="2"/>
          </rPr>
          <t>Ojo Daniel puso 215</t>
        </r>
      </text>
    </comment>
    <comment ref="C10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18" authorId="0">
      <text>
        <r>
          <rPr>
            <sz val="10"/>
            <color indexed="8"/>
            <rFont val="Arial"/>
            <family val="2"/>
          </rPr>
          <t>A Cotizar</t>
        </r>
      </text>
    </comment>
    <comment ref="C24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28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D3" authorId="0">
      <text>
        <r>
          <rPr>
            <sz val="10"/>
            <color indexed="8"/>
            <rFont val="Arial"/>
            <family val="2"/>
          </rPr>
          <t>3%+8%</t>
        </r>
      </text>
    </comment>
    <comment ref="D27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38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189" authorId="0">
      <text>
        <r>
          <rPr>
            <sz val="10"/>
            <color indexed="8"/>
            <rFont val="Arial"/>
            <family val="2"/>
          </rPr>
          <t>Soldada</t>
        </r>
      </text>
    </comment>
    <comment ref="E151" authorId="0">
      <text>
        <r>
          <rPr>
            <sz val="10"/>
            <color indexed="8"/>
            <rFont val="Arial"/>
            <family val="2"/>
          </rPr>
          <t>Solo para USR</t>
        </r>
      </text>
    </comment>
    <comment ref="F2" authorId="0">
      <text>
        <r>
          <rPr>
            <sz val="10"/>
            <color indexed="8"/>
            <rFont val="Arial"/>
            <family val="2"/>
          </rPr>
          <t>Precio de la chapa 0.25. La 0,35 = 0.25*1,30855</t>
        </r>
      </text>
    </comment>
    <comment ref="H105" authorId="0">
      <text>
        <r>
          <rPr>
            <sz val="10"/>
            <color indexed="8"/>
            <rFont val="Arial"/>
            <family val="2"/>
          </rPr>
          <t>O1050 (25x3)</t>
        </r>
      </text>
    </comment>
    <comment ref="H164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195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211" authorId="0">
      <text>
        <r>
          <rPr>
            <sz val="10"/>
            <color indexed="8"/>
            <rFont val="Arial"/>
            <family val="2"/>
          </rPr>
          <t>Pedirla electro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31x85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41x150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32x40</t>
        </r>
      </text>
    </comment>
    <comment ref="I14" authorId="0">
      <text>
        <r>
          <rPr>
            <sz val="10"/>
            <color indexed="8"/>
            <rFont val="Arial"/>
            <family val="2"/>
          </rPr>
          <t>62x27B</t>
        </r>
      </text>
    </comment>
    <comment ref="I15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33x57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36x113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39x35</t>
        </r>
      </text>
    </comment>
    <comment ref="I25" authorId="0">
      <text>
        <r>
          <rPr>
            <sz val="9"/>
            <color indexed="8"/>
            <rFont val="Tahoma"/>
            <family val="2"/>
          </rPr>
          <t>38x45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41x48</t>
        </r>
      </text>
    </comment>
    <comment ref="I29" authorId="0">
      <text>
        <r>
          <rPr>
            <b/>
            <sz val="9"/>
            <color indexed="8"/>
            <rFont val="Tahoma"/>
            <family val="2"/>
          </rPr>
          <t>40x50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>38x61</t>
        </r>
      </text>
    </comment>
    <comment ref="I32" authorId="0">
      <text>
        <r>
          <rPr>
            <sz val="10"/>
            <color indexed="8"/>
            <rFont val="Arial"/>
            <family val="2"/>
          </rPr>
          <t>69xEx20</t>
        </r>
      </text>
    </comment>
    <comment ref="I33" authorId="0">
      <text>
        <r>
          <rPr>
            <sz val="10"/>
            <color indexed="8"/>
            <rFont val="Arial"/>
            <family val="2"/>
          </rPr>
          <t>42x28</t>
        </r>
      </text>
    </comment>
    <comment ref="I35" authorId="0">
      <text>
        <r>
          <rPr>
            <sz val="10"/>
            <color indexed="8"/>
            <rFont val="Arial"/>
            <family val="2"/>
          </rPr>
          <t>42x31</t>
        </r>
      </text>
    </comment>
    <comment ref="I37" authorId="0">
      <text>
        <r>
          <rPr>
            <sz val="10"/>
            <color indexed="8"/>
            <rFont val="Arial"/>
            <family val="2"/>
          </rPr>
          <t>42x34</t>
        </r>
      </text>
    </comment>
    <comment ref="I39" authorId="0">
      <text>
        <r>
          <rPr>
            <sz val="10"/>
            <color indexed="8"/>
            <rFont val="Arial"/>
            <family val="2"/>
          </rPr>
          <t>42x46</t>
        </r>
      </text>
    </comment>
    <comment ref="I41" authorId="0">
      <text>
        <r>
          <rPr>
            <sz val="10"/>
            <color indexed="8"/>
            <rFont val="Arial"/>
            <family val="2"/>
          </rPr>
          <t>42x50</t>
        </r>
      </text>
    </comment>
    <comment ref="I42" authorId="0">
      <text>
        <r>
          <rPr>
            <sz val="10"/>
            <color indexed="8"/>
            <rFont val="Arial"/>
            <family val="2"/>
          </rPr>
          <t>77xRxC</t>
        </r>
      </text>
    </comment>
    <comment ref="I43" authorId="0">
      <text>
        <r>
          <rPr>
            <sz val="10"/>
            <color indexed="8"/>
            <rFont val="Arial"/>
            <family val="2"/>
          </rPr>
          <t>42x60</t>
        </r>
      </text>
    </comment>
    <comment ref="I55" authorId="0">
      <text>
        <r>
          <rPr>
            <sz val="10"/>
            <color indexed="8"/>
            <rFont val="Arial"/>
            <family val="2"/>
          </rPr>
          <t>42x85 ½ perforado Pedir con 3 filas de agujeros</t>
        </r>
      </text>
    </comment>
    <comment ref="I57" authorId="0">
      <text>
        <r>
          <rPr>
            <sz val="10"/>
            <color indexed="8"/>
            <rFont val="Arial"/>
            <family val="2"/>
          </rPr>
          <t>42x90 ½ perforado Pedir con 3 filas de agujeros</t>
        </r>
      </text>
    </comment>
    <comment ref="I6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63" authorId="0">
      <text>
        <r>
          <rPr>
            <sz val="10"/>
            <color indexed="8"/>
            <rFont val="Arial"/>
            <family val="2"/>
          </rPr>
          <t>D42xH95 (30mm Perforado)</t>
        </r>
      </text>
    </comment>
    <comment ref="I67" authorId="0">
      <text>
        <r>
          <rPr>
            <sz val="10"/>
            <color indexed="8"/>
            <rFont val="Arial"/>
            <family val="2"/>
          </rPr>
          <t>42x110</t>
        </r>
      </text>
    </comment>
    <comment ref="I69" authorId="0">
      <text>
        <r>
          <rPr>
            <sz val="10"/>
            <color indexed="8"/>
            <rFont val="Arial"/>
            <family val="2"/>
          </rPr>
          <t>42x110 30mm Perforado</t>
        </r>
      </text>
    </comment>
    <comment ref="I7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73" authorId="0">
      <text>
        <r>
          <rPr>
            <sz val="10"/>
            <color indexed="8"/>
            <rFont val="Arial"/>
            <family val="2"/>
          </rPr>
          <t>Pedir con 3 filas de agujeros (20mm)</t>
        </r>
      </text>
    </comment>
    <comment ref="I81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84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92" authorId="0">
      <text>
        <r>
          <rPr>
            <sz val="9"/>
            <color indexed="8"/>
            <rFont val="Arial"/>
            <family val="2"/>
          </rPr>
          <t>92 x 13/16 x 16  (plana)</t>
        </r>
      </text>
    </comment>
    <comment ref="I95" authorId="0">
      <text>
        <r>
          <rPr>
            <sz val="10"/>
            <color indexed="8"/>
            <rFont val="Arial"/>
            <family val="2"/>
          </rPr>
          <t>43x240c/2 ref pedir de 230</t>
        </r>
      </text>
    </comment>
    <comment ref="K15" authorId="0">
      <text>
        <r>
          <rPr>
            <sz val="10"/>
            <color indexed="8"/>
            <rFont val="Arial"/>
            <family val="2"/>
          </rPr>
          <t>Ver si la hacen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indexed="8"/>
            <rFont val="Arial"/>
            <family val="2"/>
          </rPr>
          <t>Pegar sobre la chapa de las tapas</t>
        </r>
      </text>
    </comment>
    <comment ref="A101" authorId="0">
      <text>
        <r>
          <rPr>
            <sz val="10"/>
            <color indexed="8"/>
            <rFont val="Arial"/>
            <family val="2"/>
          </rPr>
          <t>Ojo Daniel puso 215</t>
        </r>
      </text>
    </comment>
    <comment ref="C10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18" authorId="0">
      <text>
        <r>
          <rPr>
            <sz val="10"/>
            <color indexed="8"/>
            <rFont val="Arial"/>
            <family val="2"/>
          </rPr>
          <t>A Cotizar</t>
        </r>
      </text>
    </comment>
    <comment ref="C24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28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D3" authorId="0">
      <text>
        <r>
          <rPr>
            <sz val="10"/>
            <color indexed="8"/>
            <rFont val="Arial"/>
            <family val="2"/>
          </rPr>
          <t>3%+8%</t>
        </r>
      </text>
    </comment>
    <comment ref="D27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38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185" authorId="0">
      <text>
        <r>
          <rPr>
            <sz val="10"/>
            <color indexed="8"/>
            <rFont val="Arial"/>
            <family val="2"/>
          </rPr>
          <t>Soldada</t>
        </r>
      </text>
    </comment>
    <comment ref="E149" authorId="0">
      <text>
        <r>
          <rPr>
            <sz val="10"/>
            <color indexed="8"/>
            <rFont val="Arial"/>
            <family val="2"/>
          </rPr>
          <t>Solo para USR</t>
        </r>
      </text>
    </comment>
    <comment ref="F2" authorId="0">
      <text>
        <r>
          <rPr>
            <sz val="10"/>
            <color indexed="8"/>
            <rFont val="Arial"/>
            <family val="2"/>
          </rPr>
          <t>Precio de la chapa 0.25. La 0,35 = 0.25*1,30855</t>
        </r>
      </text>
    </comment>
    <comment ref="H101" authorId="0">
      <text>
        <r>
          <rPr>
            <sz val="10"/>
            <color indexed="8"/>
            <rFont val="Arial"/>
            <family val="2"/>
          </rPr>
          <t>O1050 (25x3)</t>
        </r>
      </text>
    </comment>
    <comment ref="H160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191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207" authorId="0">
      <text>
        <r>
          <rPr>
            <sz val="10"/>
            <color indexed="8"/>
            <rFont val="Arial"/>
            <family val="2"/>
          </rPr>
          <t>Pedirla electro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31x85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41x150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32x40</t>
        </r>
      </text>
    </comment>
    <comment ref="I14" authorId="0">
      <text>
        <r>
          <rPr>
            <sz val="10"/>
            <color indexed="8"/>
            <rFont val="Arial"/>
            <family val="2"/>
          </rPr>
          <t>62x27B</t>
        </r>
      </text>
    </comment>
    <comment ref="I15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33x57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36x113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39x35</t>
        </r>
      </text>
    </comment>
    <comment ref="I25" authorId="0">
      <text>
        <r>
          <rPr>
            <sz val="9"/>
            <color indexed="8"/>
            <rFont val="Tahoma"/>
            <family val="2"/>
          </rPr>
          <t>38x45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41x48</t>
        </r>
      </text>
    </comment>
    <comment ref="I29" authorId="0">
      <text>
        <r>
          <rPr>
            <b/>
            <sz val="9"/>
            <color indexed="8"/>
            <rFont val="Tahoma"/>
            <family val="2"/>
          </rPr>
          <t>40x50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>38x61</t>
        </r>
      </text>
    </comment>
    <comment ref="I32" authorId="0">
      <text>
        <r>
          <rPr>
            <sz val="10"/>
            <color indexed="8"/>
            <rFont val="Arial"/>
            <family val="2"/>
          </rPr>
          <t>69xEx20</t>
        </r>
      </text>
    </comment>
    <comment ref="I33" authorId="0">
      <text>
        <r>
          <rPr>
            <sz val="10"/>
            <color indexed="8"/>
            <rFont val="Arial"/>
            <family val="2"/>
          </rPr>
          <t>42x28</t>
        </r>
      </text>
    </comment>
    <comment ref="I35" authorId="0">
      <text>
        <r>
          <rPr>
            <sz val="10"/>
            <color indexed="8"/>
            <rFont val="Arial"/>
            <family val="2"/>
          </rPr>
          <t>42x31</t>
        </r>
      </text>
    </comment>
    <comment ref="I37" authorId="0">
      <text>
        <r>
          <rPr>
            <sz val="10"/>
            <color indexed="8"/>
            <rFont val="Arial"/>
            <family val="2"/>
          </rPr>
          <t>42x34</t>
        </r>
      </text>
    </comment>
    <comment ref="I39" authorId="0">
      <text>
        <r>
          <rPr>
            <sz val="10"/>
            <color indexed="8"/>
            <rFont val="Arial"/>
            <family val="2"/>
          </rPr>
          <t>42x46</t>
        </r>
      </text>
    </comment>
    <comment ref="I41" authorId="0">
      <text>
        <r>
          <rPr>
            <sz val="10"/>
            <color indexed="8"/>
            <rFont val="Arial"/>
            <family val="2"/>
          </rPr>
          <t>42x50</t>
        </r>
      </text>
    </comment>
    <comment ref="I42" authorId="0">
      <text>
        <r>
          <rPr>
            <sz val="10"/>
            <color indexed="8"/>
            <rFont val="Arial"/>
            <family val="2"/>
          </rPr>
          <t>77xRxC</t>
        </r>
      </text>
    </comment>
    <comment ref="I43" authorId="0">
      <text>
        <r>
          <rPr>
            <sz val="10"/>
            <color indexed="8"/>
            <rFont val="Arial"/>
            <family val="2"/>
          </rPr>
          <t>42x60</t>
        </r>
      </text>
    </comment>
    <comment ref="I55" authorId="0">
      <text>
        <r>
          <rPr>
            <sz val="10"/>
            <color indexed="8"/>
            <rFont val="Arial"/>
            <family val="2"/>
          </rPr>
          <t>42x85 ½ perforado Pedir con 3 filas de agujeros</t>
        </r>
      </text>
    </comment>
    <comment ref="I57" authorId="0">
      <text>
        <r>
          <rPr>
            <sz val="10"/>
            <color indexed="8"/>
            <rFont val="Arial"/>
            <family val="2"/>
          </rPr>
          <t>42x90 ½ perforado Pedir con 3 filas de agujeros</t>
        </r>
      </text>
    </comment>
    <comment ref="I6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63" authorId="0">
      <text>
        <r>
          <rPr>
            <sz val="10"/>
            <color indexed="8"/>
            <rFont val="Arial"/>
            <family val="2"/>
          </rPr>
          <t>D42xH95 (30mm Perforado)</t>
        </r>
      </text>
    </comment>
    <comment ref="I67" authorId="0">
      <text>
        <r>
          <rPr>
            <sz val="10"/>
            <color indexed="8"/>
            <rFont val="Arial"/>
            <family val="2"/>
          </rPr>
          <t>42x110</t>
        </r>
      </text>
    </comment>
    <comment ref="I69" authorId="0">
      <text>
        <r>
          <rPr>
            <sz val="10"/>
            <color indexed="8"/>
            <rFont val="Arial"/>
            <family val="2"/>
          </rPr>
          <t>42x110 30mm Perforado</t>
        </r>
      </text>
    </comment>
    <comment ref="I7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73" authorId="0">
      <text>
        <r>
          <rPr>
            <sz val="10"/>
            <color indexed="8"/>
            <rFont val="Arial"/>
            <family val="2"/>
          </rPr>
          <t>Pedir con 3 filas de agujeros (20mm)</t>
        </r>
      </text>
    </comment>
    <comment ref="I77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88" authorId="0">
      <text>
        <r>
          <rPr>
            <sz val="9"/>
            <color indexed="8"/>
            <rFont val="Arial"/>
            <family val="2"/>
          </rPr>
          <t>92 x 13/16 x 16  (plana)</t>
        </r>
      </text>
    </comment>
    <comment ref="I91" authorId="0">
      <text>
        <r>
          <rPr>
            <sz val="10"/>
            <color indexed="8"/>
            <rFont val="Arial"/>
            <family val="2"/>
          </rPr>
          <t>43x240c/2 ref pedir de 230</t>
        </r>
      </text>
    </comment>
    <comment ref="K15" authorId="0">
      <text>
        <r>
          <rPr>
            <sz val="10"/>
            <color indexed="8"/>
            <rFont val="Arial"/>
            <family val="2"/>
          </rPr>
          <t>Ver si la hacen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indexed="8"/>
            <rFont val="Arial"/>
            <family val="2"/>
          </rPr>
          <t>Pegar sobre la chapa de las tapas</t>
        </r>
      </text>
    </comment>
    <comment ref="A103" authorId="0">
      <text>
        <r>
          <rPr>
            <sz val="10"/>
            <color indexed="8"/>
            <rFont val="Arial"/>
            <family val="2"/>
          </rPr>
          <t>Ojo Daniel puso 215</t>
        </r>
      </text>
    </comment>
    <comment ref="C10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18" authorId="0">
      <text>
        <r>
          <rPr>
            <sz val="10"/>
            <color indexed="8"/>
            <rFont val="Arial"/>
            <family val="2"/>
          </rPr>
          <t>A Cotizar</t>
        </r>
      </text>
    </comment>
    <comment ref="C24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28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D3" authorId="0">
      <text>
        <r>
          <rPr>
            <sz val="10"/>
            <color indexed="8"/>
            <rFont val="Arial"/>
            <family val="2"/>
          </rPr>
          <t>3%+8%</t>
        </r>
      </text>
    </comment>
    <comment ref="D27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38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184" authorId="0">
      <text>
        <r>
          <rPr>
            <sz val="10"/>
            <color indexed="8"/>
            <rFont val="Arial"/>
            <family val="2"/>
          </rPr>
          <t>Soldada</t>
        </r>
      </text>
    </comment>
    <comment ref="E148" authorId="0">
      <text>
        <r>
          <rPr>
            <sz val="10"/>
            <color indexed="8"/>
            <rFont val="Arial"/>
            <family val="2"/>
          </rPr>
          <t>Solo para USR</t>
        </r>
      </text>
    </comment>
    <comment ref="F2" authorId="0">
      <text>
        <r>
          <rPr>
            <sz val="10"/>
            <color indexed="8"/>
            <rFont val="Arial"/>
            <family val="2"/>
          </rPr>
          <t>Precio de la chapa 0.25. La 0,35 = 0.25*1,30855</t>
        </r>
      </text>
    </comment>
    <comment ref="H103" authorId="0">
      <text>
        <r>
          <rPr>
            <sz val="10"/>
            <color indexed="8"/>
            <rFont val="Arial"/>
            <family val="2"/>
          </rPr>
          <t>O1050 (25x3)</t>
        </r>
      </text>
    </comment>
    <comment ref="H159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190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206" authorId="0">
      <text>
        <r>
          <rPr>
            <sz val="10"/>
            <color indexed="8"/>
            <rFont val="Arial"/>
            <family val="2"/>
          </rPr>
          <t>Pedirla electro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31x85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41x150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35x45</t>
        </r>
      </text>
    </comment>
    <comment ref="I14" authorId="0">
      <text>
        <r>
          <rPr>
            <sz val="10"/>
            <color indexed="8"/>
            <rFont val="Arial"/>
            <family val="2"/>
          </rPr>
          <t>62x27B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33x57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36x113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39x35</t>
        </r>
      </text>
    </comment>
    <comment ref="I25" authorId="0">
      <text>
        <r>
          <rPr>
            <sz val="9"/>
            <color indexed="8"/>
            <rFont val="Tahoma"/>
            <family val="2"/>
          </rPr>
          <t>38x45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41x48</t>
        </r>
      </text>
    </comment>
    <comment ref="I29" authorId="0">
      <text>
        <r>
          <rPr>
            <b/>
            <sz val="9"/>
            <color indexed="8"/>
            <rFont val="Tahoma"/>
            <family val="2"/>
          </rPr>
          <t>41x50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>38x61</t>
        </r>
      </text>
    </comment>
    <comment ref="I32" authorId="0">
      <text>
        <r>
          <rPr>
            <sz val="10"/>
            <color indexed="8"/>
            <rFont val="Arial"/>
            <family val="2"/>
          </rPr>
          <t>69xEx20</t>
        </r>
      </text>
    </comment>
    <comment ref="I33" authorId="0">
      <text>
        <r>
          <rPr>
            <sz val="10"/>
            <color indexed="8"/>
            <rFont val="Arial"/>
            <family val="2"/>
          </rPr>
          <t>42x28</t>
        </r>
      </text>
    </comment>
    <comment ref="I35" authorId="0">
      <text>
        <r>
          <rPr>
            <sz val="10"/>
            <color indexed="8"/>
            <rFont val="Arial"/>
            <family val="2"/>
          </rPr>
          <t>42x31</t>
        </r>
      </text>
    </comment>
    <comment ref="I37" authorId="0">
      <text>
        <r>
          <rPr>
            <sz val="10"/>
            <color indexed="8"/>
            <rFont val="Arial"/>
            <family val="2"/>
          </rPr>
          <t>42x34</t>
        </r>
      </text>
    </comment>
    <comment ref="I39" authorId="0">
      <text>
        <r>
          <rPr>
            <sz val="10"/>
            <color indexed="8"/>
            <rFont val="Arial"/>
            <family val="2"/>
          </rPr>
          <t>42x46</t>
        </r>
      </text>
    </comment>
    <comment ref="I41" authorId="0">
      <text>
        <r>
          <rPr>
            <sz val="10"/>
            <color indexed="8"/>
            <rFont val="Arial"/>
            <family val="2"/>
          </rPr>
          <t>42x50</t>
        </r>
      </text>
    </comment>
    <comment ref="I42" authorId="0">
      <text>
        <r>
          <rPr>
            <sz val="10"/>
            <color indexed="8"/>
            <rFont val="Arial"/>
            <family val="2"/>
          </rPr>
          <t>77xRxC</t>
        </r>
      </text>
    </comment>
    <comment ref="I43" authorId="0">
      <text>
        <r>
          <rPr>
            <sz val="10"/>
            <color indexed="8"/>
            <rFont val="Arial"/>
            <family val="2"/>
          </rPr>
          <t>42x60</t>
        </r>
      </text>
    </comment>
    <comment ref="I57" authorId="0">
      <text>
        <r>
          <rPr>
            <sz val="10"/>
            <color indexed="8"/>
            <rFont val="Arial"/>
            <family val="2"/>
          </rPr>
          <t>42x85 ½ perforado Pedir con 3 filas de agujeros</t>
        </r>
      </text>
    </comment>
    <comment ref="I59" authorId="0">
      <text>
        <r>
          <rPr>
            <sz val="10"/>
            <color indexed="8"/>
            <rFont val="Arial"/>
            <family val="2"/>
          </rPr>
          <t>42x90 ½ perforado Pedir con 3 filas de agujeros</t>
        </r>
      </text>
    </comment>
    <comment ref="I63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65" authorId="0">
      <text>
        <r>
          <rPr>
            <sz val="10"/>
            <color indexed="8"/>
            <rFont val="Arial"/>
            <family val="2"/>
          </rPr>
          <t>D42xH95 (30mm Perforado)</t>
        </r>
      </text>
    </comment>
    <comment ref="I69" authorId="0">
      <text>
        <r>
          <rPr>
            <sz val="10"/>
            <color indexed="8"/>
            <rFont val="Arial"/>
            <family val="2"/>
          </rPr>
          <t>42x110</t>
        </r>
      </text>
    </comment>
    <comment ref="I71" authorId="0">
      <text>
        <r>
          <rPr>
            <sz val="10"/>
            <color indexed="8"/>
            <rFont val="Arial"/>
            <family val="2"/>
          </rPr>
          <t>42x110 30mm Perforado</t>
        </r>
      </text>
    </comment>
    <comment ref="I73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75" authorId="0">
      <text>
        <r>
          <rPr>
            <sz val="10"/>
            <color indexed="8"/>
            <rFont val="Arial"/>
            <family val="2"/>
          </rPr>
          <t>Viene con 2 referzos</t>
        </r>
      </text>
    </comment>
    <comment ref="I79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90" authorId="0">
      <text>
        <r>
          <rPr>
            <sz val="9"/>
            <color indexed="8"/>
            <rFont val="Arial"/>
            <family val="2"/>
          </rPr>
          <t>92 x 13/16 x 16  (plana)</t>
        </r>
      </text>
    </comment>
    <comment ref="I93" authorId="0">
      <text>
        <r>
          <rPr>
            <sz val="10"/>
            <color indexed="8"/>
            <rFont val="Arial"/>
            <family val="2"/>
          </rPr>
          <t>43x240c/2 ref pedir de 230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indexed="8"/>
            <rFont val="Arial"/>
            <family val="2"/>
          </rPr>
          <t>Pegar sobre la chapa de las tapas</t>
        </r>
      </text>
    </comment>
    <comment ref="A101" authorId="0">
      <text>
        <r>
          <rPr>
            <sz val="10"/>
            <color indexed="8"/>
            <rFont val="Arial"/>
            <family val="2"/>
          </rPr>
          <t>Ojo Daniel puso 215</t>
        </r>
      </text>
    </comment>
    <comment ref="C10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18" authorId="0">
      <text>
        <r>
          <rPr>
            <sz val="10"/>
            <color indexed="8"/>
            <rFont val="Arial"/>
            <family val="2"/>
          </rPr>
          <t>A Cotizar</t>
        </r>
      </text>
    </comment>
    <comment ref="C24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28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D3" authorId="0">
      <text>
        <r>
          <rPr>
            <sz val="10"/>
            <color indexed="8"/>
            <rFont val="Arial"/>
            <family val="2"/>
          </rPr>
          <t>3%+8%</t>
        </r>
      </text>
    </comment>
    <comment ref="D27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38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182" authorId="0">
      <text>
        <r>
          <rPr>
            <sz val="10"/>
            <color indexed="8"/>
            <rFont val="Arial"/>
            <family val="2"/>
          </rPr>
          <t>Soldada</t>
        </r>
      </text>
    </comment>
    <comment ref="E146" authorId="0">
      <text>
        <r>
          <rPr>
            <sz val="10"/>
            <color indexed="8"/>
            <rFont val="Arial"/>
            <family val="2"/>
          </rPr>
          <t>Solo para USR</t>
        </r>
      </text>
    </comment>
    <comment ref="F2" authorId="0">
      <text>
        <r>
          <rPr>
            <sz val="10"/>
            <color indexed="8"/>
            <rFont val="Arial"/>
            <family val="2"/>
          </rPr>
          <t>Precio de la chapa 0.25. La 0,35 = 0.25*1,30855</t>
        </r>
      </text>
    </comment>
    <comment ref="H101" authorId="0">
      <text>
        <r>
          <rPr>
            <sz val="10"/>
            <color indexed="8"/>
            <rFont val="Arial"/>
            <family val="2"/>
          </rPr>
          <t>O1050 (25x3)</t>
        </r>
      </text>
    </comment>
    <comment ref="H157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211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31x85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41x150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32x40</t>
        </r>
      </text>
    </comment>
    <comment ref="I14" authorId="0">
      <text>
        <r>
          <rPr>
            <sz val="10"/>
            <color indexed="8"/>
            <rFont val="Arial"/>
            <family val="2"/>
          </rPr>
          <t>62x27B</t>
        </r>
      </text>
    </comment>
    <comment ref="I15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33x57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36x113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39x35</t>
        </r>
      </text>
    </comment>
    <comment ref="I25" authorId="0">
      <text>
        <r>
          <rPr>
            <sz val="9"/>
            <color indexed="8"/>
            <rFont val="Tahoma"/>
            <family val="2"/>
          </rPr>
          <t>38x45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41x48</t>
        </r>
      </text>
    </comment>
    <comment ref="I29" authorId="0">
      <text>
        <r>
          <rPr>
            <b/>
            <sz val="9"/>
            <color indexed="8"/>
            <rFont val="Tahoma"/>
            <family val="2"/>
          </rPr>
          <t>40x50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>38x61</t>
        </r>
      </text>
    </comment>
    <comment ref="I32" authorId="0">
      <text>
        <r>
          <rPr>
            <sz val="10"/>
            <color indexed="8"/>
            <rFont val="Arial"/>
            <family val="2"/>
          </rPr>
          <t>69xEx20</t>
        </r>
      </text>
    </comment>
    <comment ref="I33" authorId="0">
      <text>
        <r>
          <rPr>
            <sz val="10"/>
            <color indexed="8"/>
            <rFont val="Arial"/>
            <family val="2"/>
          </rPr>
          <t>42x28</t>
        </r>
      </text>
    </comment>
    <comment ref="I35" authorId="0">
      <text>
        <r>
          <rPr>
            <sz val="10"/>
            <color indexed="8"/>
            <rFont val="Arial"/>
            <family val="2"/>
          </rPr>
          <t>42x31</t>
        </r>
      </text>
    </comment>
    <comment ref="I37" authorId="0">
      <text>
        <r>
          <rPr>
            <sz val="10"/>
            <color indexed="8"/>
            <rFont val="Arial"/>
            <family val="2"/>
          </rPr>
          <t>42x34</t>
        </r>
      </text>
    </comment>
    <comment ref="I39" authorId="0">
      <text>
        <r>
          <rPr>
            <sz val="10"/>
            <color indexed="8"/>
            <rFont val="Arial"/>
            <family val="2"/>
          </rPr>
          <t>42x46</t>
        </r>
      </text>
    </comment>
    <comment ref="I41" authorId="0">
      <text>
        <r>
          <rPr>
            <sz val="10"/>
            <color indexed="8"/>
            <rFont val="Arial"/>
            <family val="2"/>
          </rPr>
          <t>42x50</t>
        </r>
      </text>
    </comment>
    <comment ref="I42" authorId="0">
      <text>
        <r>
          <rPr>
            <sz val="10"/>
            <color indexed="8"/>
            <rFont val="Arial"/>
            <family val="2"/>
          </rPr>
          <t>77xRxC</t>
        </r>
      </text>
    </comment>
    <comment ref="I43" authorId="0">
      <text>
        <r>
          <rPr>
            <sz val="10"/>
            <color indexed="8"/>
            <rFont val="Arial"/>
            <family val="2"/>
          </rPr>
          <t>42x60</t>
        </r>
      </text>
    </comment>
    <comment ref="I55" authorId="0">
      <text>
        <r>
          <rPr>
            <sz val="10"/>
            <color indexed="8"/>
            <rFont val="Arial"/>
            <family val="2"/>
          </rPr>
          <t>42x85 ½ perforado Pedir con 3 filas de agujeros</t>
        </r>
      </text>
    </comment>
    <comment ref="I57" authorId="0">
      <text>
        <r>
          <rPr>
            <sz val="10"/>
            <color indexed="8"/>
            <rFont val="Arial"/>
            <family val="2"/>
          </rPr>
          <t>42x90 ½ perforado Pedir con 3 filas de agujeros</t>
        </r>
      </text>
    </comment>
    <comment ref="I6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63" authorId="0">
      <text>
        <r>
          <rPr>
            <sz val="10"/>
            <color indexed="8"/>
            <rFont val="Arial"/>
            <family val="2"/>
          </rPr>
          <t>D42xH95 (30mm Perforado)</t>
        </r>
      </text>
    </comment>
    <comment ref="I67" authorId="0">
      <text>
        <r>
          <rPr>
            <sz val="10"/>
            <color indexed="8"/>
            <rFont val="Arial"/>
            <family val="2"/>
          </rPr>
          <t>42x110</t>
        </r>
      </text>
    </comment>
    <comment ref="I69" authorId="0">
      <text>
        <r>
          <rPr>
            <sz val="10"/>
            <color indexed="8"/>
            <rFont val="Arial"/>
            <family val="2"/>
          </rPr>
          <t>42x110 30mm Perforado</t>
        </r>
      </text>
    </comment>
    <comment ref="I7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73" authorId="0">
      <text>
        <r>
          <rPr>
            <sz val="10"/>
            <color indexed="8"/>
            <rFont val="Arial"/>
            <family val="2"/>
          </rPr>
          <t>Pedir con 3 filas de agujeros (20mm)</t>
        </r>
      </text>
    </comment>
    <comment ref="I77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88" authorId="0">
      <text>
        <r>
          <rPr>
            <sz val="9"/>
            <color indexed="8"/>
            <rFont val="Arial"/>
            <family val="2"/>
          </rPr>
          <t>92 x 13/16 x 16  (plana)</t>
        </r>
      </text>
    </comment>
    <comment ref="I91" authorId="0">
      <text>
        <r>
          <rPr>
            <sz val="10"/>
            <color indexed="8"/>
            <rFont val="Arial"/>
            <family val="2"/>
          </rPr>
          <t>43x240c/2 ref pedir de 230</t>
        </r>
      </text>
    </comment>
    <comment ref="K15" authorId="0">
      <text>
        <r>
          <rPr>
            <sz val="10"/>
            <color indexed="8"/>
            <rFont val="Arial"/>
            <family val="2"/>
          </rPr>
          <t>Ver si la hacen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indexed="8"/>
            <rFont val="Arial"/>
            <family val="2"/>
          </rPr>
          <t>Pegar sobre la chapa de las tapas</t>
        </r>
      </text>
    </comment>
    <comment ref="A47" authorId="0">
      <text>
        <r>
          <rPr>
            <sz val="10"/>
            <rFont val="Arial"/>
            <family val="2"/>
          </rPr>
          <t>AR1080</t>
        </r>
      </text>
    </comment>
    <comment ref="A101" authorId="0">
      <text>
        <r>
          <rPr>
            <sz val="10"/>
            <color indexed="8"/>
            <rFont val="Arial"/>
            <family val="2"/>
          </rPr>
          <t>Ojo Daniel puso 215</t>
        </r>
      </text>
    </comment>
    <comment ref="C10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18" authorId="0">
      <text>
        <r>
          <rPr>
            <sz val="10"/>
            <color indexed="8"/>
            <rFont val="Arial"/>
            <family val="2"/>
          </rPr>
          <t>A Cotizar</t>
        </r>
      </text>
    </comment>
    <comment ref="C24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28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D3" authorId="0">
      <text>
        <r>
          <rPr>
            <sz val="10"/>
            <color indexed="8"/>
            <rFont val="Arial"/>
            <family val="2"/>
          </rPr>
          <t>3%+8%</t>
        </r>
      </text>
    </comment>
    <comment ref="D27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38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182" authorId="0">
      <text>
        <r>
          <rPr>
            <sz val="10"/>
            <color indexed="8"/>
            <rFont val="Arial"/>
            <family val="2"/>
          </rPr>
          <t>Soldada</t>
        </r>
      </text>
    </comment>
    <comment ref="E146" authorId="0">
      <text>
        <r>
          <rPr>
            <sz val="10"/>
            <color indexed="8"/>
            <rFont val="Arial"/>
            <family val="2"/>
          </rPr>
          <t>Solo para USR</t>
        </r>
      </text>
    </comment>
    <comment ref="F2" authorId="0">
      <text>
        <r>
          <rPr>
            <sz val="10"/>
            <color indexed="8"/>
            <rFont val="Arial"/>
            <family val="2"/>
          </rPr>
          <t>Precio de la chapa 0.25. La 0,35 = 0.25*1,30855</t>
        </r>
      </text>
    </comment>
    <comment ref="H101" authorId="0">
      <text>
        <r>
          <rPr>
            <sz val="10"/>
            <color indexed="8"/>
            <rFont val="Arial"/>
            <family val="2"/>
          </rPr>
          <t>O1050 (25x3)</t>
        </r>
      </text>
    </comment>
    <comment ref="H157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188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204" authorId="0">
      <text>
        <r>
          <rPr>
            <sz val="10"/>
            <color indexed="8"/>
            <rFont val="Arial"/>
            <family val="2"/>
          </rPr>
          <t>Pedirla electro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31x85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41x150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32x40</t>
        </r>
      </text>
    </comment>
    <comment ref="I14" authorId="0">
      <text>
        <r>
          <rPr>
            <sz val="10"/>
            <color indexed="8"/>
            <rFont val="Arial"/>
            <family val="2"/>
          </rPr>
          <t>62x27B</t>
        </r>
      </text>
    </comment>
    <comment ref="I15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33x57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36x113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39x35</t>
        </r>
      </text>
    </comment>
    <comment ref="I25" authorId="0">
      <text>
        <r>
          <rPr>
            <sz val="9"/>
            <color indexed="8"/>
            <rFont val="Tahoma"/>
            <family val="2"/>
          </rPr>
          <t>38x45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41x48</t>
        </r>
      </text>
    </comment>
    <comment ref="I29" authorId="0">
      <text>
        <r>
          <rPr>
            <b/>
            <sz val="9"/>
            <color indexed="8"/>
            <rFont val="Tahoma"/>
            <family val="2"/>
          </rPr>
          <t>40x50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>38x61</t>
        </r>
      </text>
    </comment>
    <comment ref="I32" authorId="0">
      <text>
        <r>
          <rPr>
            <sz val="10"/>
            <color indexed="8"/>
            <rFont val="Arial"/>
            <family val="2"/>
          </rPr>
          <t>69xEx20</t>
        </r>
      </text>
    </comment>
    <comment ref="I33" authorId="0">
      <text>
        <r>
          <rPr>
            <sz val="10"/>
            <color indexed="8"/>
            <rFont val="Arial"/>
            <family val="2"/>
          </rPr>
          <t>42x28</t>
        </r>
      </text>
    </comment>
    <comment ref="I35" authorId="0">
      <text>
        <r>
          <rPr>
            <sz val="10"/>
            <color indexed="8"/>
            <rFont val="Arial"/>
            <family val="2"/>
          </rPr>
          <t>42x31</t>
        </r>
      </text>
    </comment>
    <comment ref="I37" authorId="0">
      <text>
        <r>
          <rPr>
            <sz val="10"/>
            <color indexed="8"/>
            <rFont val="Arial"/>
            <family val="2"/>
          </rPr>
          <t>42x34</t>
        </r>
      </text>
    </comment>
    <comment ref="I39" authorId="0">
      <text>
        <r>
          <rPr>
            <sz val="10"/>
            <color indexed="8"/>
            <rFont val="Arial"/>
            <family val="2"/>
          </rPr>
          <t>42x46</t>
        </r>
      </text>
    </comment>
    <comment ref="I41" authorId="0">
      <text>
        <r>
          <rPr>
            <sz val="10"/>
            <color indexed="8"/>
            <rFont val="Arial"/>
            <family val="2"/>
          </rPr>
          <t>42x50</t>
        </r>
      </text>
    </comment>
    <comment ref="I42" authorId="0">
      <text>
        <r>
          <rPr>
            <sz val="10"/>
            <color indexed="8"/>
            <rFont val="Arial"/>
            <family val="2"/>
          </rPr>
          <t>77xRxC</t>
        </r>
      </text>
    </comment>
    <comment ref="I43" authorId="0">
      <text>
        <r>
          <rPr>
            <sz val="10"/>
            <color indexed="8"/>
            <rFont val="Arial"/>
            <family val="2"/>
          </rPr>
          <t>42x60</t>
        </r>
      </text>
    </comment>
    <comment ref="I55" authorId="0">
      <text>
        <r>
          <rPr>
            <sz val="10"/>
            <color indexed="8"/>
            <rFont val="Arial"/>
            <family val="2"/>
          </rPr>
          <t>42x85 ½ perforado Pedir con 3 filas de agujeros</t>
        </r>
      </text>
    </comment>
    <comment ref="I57" authorId="0">
      <text>
        <r>
          <rPr>
            <sz val="10"/>
            <color indexed="8"/>
            <rFont val="Arial"/>
            <family val="2"/>
          </rPr>
          <t>42x90 ½ perforado Pedir con 3 filas de agujeros</t>
        </r>
      </text>
    </comment>
    <comment ref="I6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63" authorId="0">
      <text>
        <r>
          <rPr>
            <sz val="10"/>
            <color indexed="8"/>
            <rFont val="Arial"/>
            <family val="2"/>
          </rPr>
          <t>D42xH95 (30mm Perforado)</t>
        </r>
      </text>
    </comment>
    <comment ref="I67" authorId="0">
      <text>
        <r>
          <rPr>
            <sz val="10"/>
            <color indexed="8"/>
            <rFont val="Arial"/>
            <family val="2"/>
          </rPr>
          <t>42x110</t>
        </r>
      </text>
    </comment>
    <comment ref="I69" authorId="0">
      <text>
        <r>
          <rPr>
            <sz val="10"/>
            <color indexed="8"/>
            <rFont val="Arial"/>
            <family val="2"/>
          </rPr>
          <t>42x110 30mm Perforado</t>
        </r>
      </text>
    </comment>
    <comment ref="I7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73" authorId="0">
      <text>
        <r>
          <rPr>
            <sz val="10"/>
            <color indexed="8"/>
            <rFont val="Arial"/>
            <family val="2"/>
          </rPr>
          <t>Pedir con 3 filas de agujeros (20mm)</t>
        </r>
      </text>
    </comment>
    <comment ref="I77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88" authorId="0">
      <text>
        <r>
          <rPr>
            <sz val="9"/>
            <color indexed="8"/>
            <rFont val="Arial"/>
            <family val="2"/>
          </rPr>
          <t>92 x 13/16 x 16  (plana)</t>
        </r>
      </text>
    </comment>
    <comment ref="I91" authorId="0">
      <text>
        <r>
          <rPr>
            <sz val="10"/>
            <color indexed="8"/>
            <rFont val="Arial"/>
            <family val="2"/>
          </rPr>
          <t>43x240c/2 ref pedir de 230</t>
        </r>
      </text>
    </comment>
    <comment ref="K15" authorId="0">
      <text>
        <r>
          <rPr>
            <sz val="10"/>
            <color indexed="8"/>
            <rFont val="Arial"/>
            <family val="2"/>
          </rPr>
          <t>Ver si la hacen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indexed="8"/>
            <rFont val="Arial"/>
            <family val="2"/>
          </rPr>
          <t>Pegar sobre la chapa de las tapas</t>
        </r>
      </text>
    </comment>
    <comment ref="A101" authorId="0">
      <text>
        <r>
          <rPr>
            <sz val="10"/>
            <color indexed="8"/>
            <rFont val="Arial"/>
            <family val="2"/>
          </rPr>
          <t>Ojo Daniel puso 215</t>
        </r>
      </text>
    </comment>
    <comment ref="C10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18" authorId="0">
      <text>
        <r>
          <rPr>
            <sz val="10"/>
            <color indexed="8"/>
            <rFont val="Arial"/>
            <family val="2"/>
          </rPr>
          <t>A Cotizar</t>
        </r>
      </text>
    </comment>
    <comment ref="C24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28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D3" authorId="0">
      <text>
        <r>
          <rPr>
            <sz val="10"/>
            <color indexed="8"/>
            <rFont val="Arial"/>
            <family val="2"/>
          </rPr>
          <t>3%+8%</t>
        </r>
      </text>
    </comment>
    <comment ref="D27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38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182" authorId="0">
      <text>
        <r>
          <rPr>
            <sz val="10"/>
            <color indexed="8"/>
            <rFont val="Arial"/>
            <family val="2"/>
          </rPr>
          <t>Soldada</t>
        </r>
      </text>
    </comment>
    <comment ref="E146" authorId="0">
      <text>
        <r>
          <rPr>
            <sz val="10"/>
            <color indexed="8"/>
            <rFont val="Arial"/>
            <family val="2"/>
          </rPr>
          <t>Solo para USR</t>
        </r>
      </text>
    </comment>
    <comment ref="F2" authorId="0">
      <text>
        <r>
          <rPr>
            <sz val="10"/>
            <color indexed="8"/>
            <rFont val="Arial"/>
            <family val="2"/>
          </rPr>
          <t>Precio de la chapa 0.25. La 0,35 = 0.25*1,30855</t>
        </r>
      </text>
    </comment>
    <comment ref="H101" authorId="0">
      <text>
        <r>
          <rPr>
            <sz val="10"/>
            <color indexed="8"/>
            <rFont val="Arial"/>
            <family val="2"/>
          </rPr>
          <t>O1050 (25x3)</t>
        </r>
      </text>
    </comment>
    <comment ref="H157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188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204" authorId="0">
      <text>
        <r>
          <rPr>
            <sz val="10"/>
            <color indexed="8"/>
            <rFont val="Arial"/>
            <family val="2"/>
          </rPr>
          <t>Pedirla electro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31x85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41x150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32x40</t>
        </r>
      </text>
    </comment>
    <comment ref="I14" authorId="0">
      <text>
        <r>
          <rPr>
            <sz val="10"/>
            <color indexed="8"/>
            <rFont val="Arial"/>
            <family val="2"/>
          </rPr>
          <t>62x27B</t>
        </r>
      </text>
    </comment>
    <comment ref="I15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33x57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36x113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39x35</t>
        </r>
      </text>
    </comment>
    <comment ref="I25" authorId="0">
      <text>
        <r>
          <rPr>
            <sz val="9"/>
            <color indexed="8"/>
            <rFont val="Tahoma"/>
            <family val="2"/>
          </rPr>
          <t>38x45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41x48</t>
        </r>
      </text>
    </comment>
    <comment ref="I29" authorId="0">
      <text>
        <r>
          <rPr>
            <b/>
            <sz val="9"/>
            <color indexed="8"/>
            <rFont val="Tahoma"/>
            <family val="2"/>
          </rPr>
          <t>40x50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>38x61</t>
        </r>
      </text>
    </comment>
    <comment ref="I32" authorId="0">
      <text>
        <r>
          <rPr>
            <sz val="10"/>
            <color indexed="8"/>
            <rFont val="Arial"/>
            <family val="2"/>
          </rPr>
          <t>69xEx20</t>
        </r>
      </text>
    </comment>
    <comment ref="I33" authorId="0">
      <text>
        <r>
          <rPr>
            <sz val="10"/>
            <color indexed="8"/>
            <rFont val="Arial"/>
            <family val="2"/>
          </rPr>
          <t>42x28</t>
        </r>
      </text>
    </comment>
    <comment ref="I35" authorId="0">
      <text>
        <r>
          <rPr>
            <sz val="10"/>
            <color indexed="8"/>
            <rFont val="Arial"/>
            <family val="2"/>
          </rPr>
          <t>42x31</t>
        </r>
      </text>
    </comment>
    <comment ref="I37" authorId="0">
      <text>
        <r>
          <rPr>
            <sz val="10"/>
            <color indexed="8"/>
            <rFont val="Arial"/>
            <family val="2"/>
          </rPr>
          <t>42x34</t>
        </r>
      </text>
    </comment>
    <comment ref="I39" authorId="0">
      <text>
        <r>
          <rPr>
            <sz val="10"/>
            <color indexed="8"/>
            <rFont val="Arial"/>
            <family val="2"/>
          </rPr>
          <t>42x46</t>
        </r>
      </text>
    </comment>
    <comment ref="I41" authorId="0">
      <text>
        <r>
          <rPr>
            <sz val="10"/>
            <color indexed="8"/>
            <rFont val="Arial"/>
            <family val="2"/>
          </rPr>
          <t>42x50</t>
        </r>
      </text>
    </comment>
    <comment ref="I42" authorId="0">
      <text>
        <r>
          <rPr>
            <sz val="10"/>
            <color indexed="8"/>
            <rFont val="Arial"/>
            <family val="2"/>
          </rPr>
          <t>77xRxC</t>
        </r>
      </text>
    </comment>
    <comment ref="I43" authorId="0">
      <text>
        <r>
          <rPr>
            <sz val="10"/>
            <color indexed="8"/>
            <rFont val="Arial"/>
            <family val="2"/>
          </rPr>
          <t>42x60</t>
        </r>
      </text>
    </comment>
    <comment ref="I55" authorId="0">
      <text>
        <r>
          <rPr>
            <sz val="10"/>
            <color indexed="8"/>
            <rFont val="Arial"/>
            <family val="2"/>
          </rPr>
          <t>42x85 ½ perforado Pedir con 3 filas de agujeros</t>
        </r>
      </text>
    </comment>
    <comment ref="I57" authorId="0">
      <text>
        <r>
          <rPr>
            <sz val="10"/>
            <color indexed="8"/>
            <rFont val="Arial"/>
            <family val="2"/>
          </rPr>
          <t>42x90 ½ perforado Pedir con 3 filas de agujeros</t>
        </r>
      </text>
    </comment>
    <comment ref="I6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63" authorId="0">
      <text>
        <r>
          <rPr>
            <sz val="10"/>
            <color indexed="8"/>
            <rFont val="Arial"/>
            <family val="2"/>
          </rPr>
          <t>D42xH95 (30mm Perforado)</t>
        </r>
      </text>
    </comment>
    <comment ref="I67" authorId="0">
      <text>
        <r>
          <rPr>
            <sz val="10"/>
            <color indexed="8"/>
            <rFont val="Arial"/>
            <family val="2"/>
          </rPr>
          <t>42x110</t>
        </r>
      </text>
    </comment>
    <comment ref="I69" authorId="0">
      <text>
        <r>
          <rPr>
            <sz val="10"/>
            <color indexed="8"/>
            <rFont val="Arial"/>
            <family val="2"/>
          </rPr>
          <t>42x110 30mm Perforado</t>
        </r>
      </text>
    </comment>
    <comment ref="I7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77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88" authorId="0">
      <text>
        <r>
          <rPr>
            <sz val="9"/>
            <color indexed="8"/>
            <rFont val="Arial"/>
            <family val="2"/>
          </rPr>
          <t>92 x 13/16 x 16  (plana)</t>
        </r>
      </text>
    </comment>
    <comment ref="I91" authorId="0">
      <text>
        <r>
          <rPr>
            <sz val="10"/>
            <color indexed="8"/>
            <rFont val="Arial"/>
            <family val="2"/>
          </rPr>
          <t>43x240c/2 ref pedir de 230</t>
        </r>
      </text>
    </comment>
    <comment ref="K15" authorId="0">
      <text>
        <r>
          <rPr>
            <sz val="10"/>
            <color indexed="8"/>
            <rFont val="Arial"/>
            <family val="2"/>
          </rPr>
          <t>Ver si la hacen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indexed="8"/>
            <rFont val="Arial"/>
            <family val="2"/>
          </rPr>
          <t>Pegar sobre la chapa de las tapas</t>
        </r>
      </text>
    </comment>
    <comment ref="A101" authorId="0">
      <text>
        <r>
          <rPr>
            <sz val="10"/>
            <color indexed="8"/>
            <rFont val="Arial"/>
            <family val="2"/>
          </rPr>
          <t>Ojo Daniel puso 215</t>
        </r>
      </text>
    </comment>
    <comment ref="C10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18" authorId="0">
      <text>
        <r>
          <rPr>
            <sz val="10"/>
            <color indexed="8"/>
            <rFont val="Arial"/>
            <family val="2"/>
          </rPr>
          <t>A Cotizar</t>
        </r>
      </text>
    </comment>
    <comment ref="C24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28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D3" authorId="0">
      <text>
        <r>
          <rPr>
            <sz val="10"/>
            <color indexed="8"/>
            <rFont val="Arial"/>
            <family val="2"/>
          </rPr>
          <t>3%+8%</t>
        </r>
      </text>
    </comment>
    <comment ref="D27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38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182" authorId="0">
      <text>
        <r>
          <rPr>
            <sz val="10"/>
            <color indexed="8"/>
            <rFont val="Arial"/>
            <family val="2"/>
          </rPr>
          <t>Soldada</t>
        </r>
      </text>
    </comment>
    <comment ref="E146" authorId="0">
      <text>
        <r>
          <rPr>
            <sz val="10"/>
            <color indexed="8"/>
            <rFont val="Arial"/>
            <family val="2"/>
          </rPr>
          <t>Solo para USR</t>
        </r>
      </text>
    </comment>
    <comment ref="F2" authorId="0">
      <text>
        <r>
          <rPr>
            <sz val="10"/>
            <color indexed="8"/>
            <rFont val="Arial"/>
            <family val="2"/>
          </rPr>
          <t>Precio de la chapa 0.25. La 0,35 = 0.25*1,30855</t>
        </r>
      </text>
    </comment>
    <comment ref="H101" authorId="0">
      <text>
        <r>
          <rPr>
            <sz val="10"/>
            <color indexed="8"/>
            <rFont val="Arial"/>
            <family val="2"/>
          </rPr>
          <t>O1050 (25x3)</t>
        </r>
      </text>
    </comment>
    <comment ref="H157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188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204" authorId="0">
      <text>
        <r>
          <rPr>
            <sz val="10"/>
            <color indexed="8"/>
            <rFont val="Arial"/>
            <family val="2"/>
          </rPr>
          <t>Pedirla electro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31x85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41x150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32x40</t>
        </r>
      </text>
    </comment>
    <comment ref="I14" authorId="0">
      <text>
        <r>
          <rPr>
            <sz val="10"/>
            <color indexed="8"/>
            <rFont val="Arial"/>
            <family val="2"/>
          </rPr>
          <t>62x27B</t>
        </r>
      </text>
    </comment>
    <comment ref="I15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33x57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36x113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39x35</t>
        </r>
      </text>
    </comment>
    <comment ref="I25" authorId="0">
      <text>
        <r>
          <rPr>
            <sz val="9"/>
            <color indexed="8"/>
            <rFont val="Tahoma"/>
            <family val="2"/>
          </rPr>
          <t>38x45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41x48</t>
        </r>
      </text>
    </comment>
    <comment ref="I29" authorId="0">
      <text>
        <r>
          <rPr>
            <b/>
            <sz val="9"/>
            <color indexed="8"/>
            <rFont val="Tahoma"/>
            <family val="2"/>
          </rPr>
          <t>40x50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>38x61</t>
        </r>
      </text>
    </comment>
    <comment ref="I32" authorId="0">
      <text>
        <r>
          <rPr>
            <sz val="10"/>
            <color indexed="8"/>
            <rFont val="Arial"/>
            <family val="2"/>
          </rPr>
          <t>69xEx20</t>
        </r>
      </text>
    </comment>
    <comment ref="I33" authorId="0">
      <text>
        <r>
          <rPr>
            <sz val="10"/>
            <color indexed="8"/>
            <rFont val="Arial"/>
            <family val="2"/>
          </rPr>
          <t>42x28</t>
        </r>
      </text>
    </comment>
    <comment ref="I35" authorId="0">
      <text>
        <r>
          <rPr>
            <sz val="10"/>
            <color indexed="8"/>
            <rFont val="Arial"/>
            <family val="2"/>
          </rPr>
          <t>42x31</t>
        </r>
      </text>
    </comment>
    <comment ref="I37" authorId="0">
      <text>
        <r>
          <rPr>
            <sz val="10"/>
            <color indexed="8"/>
            <rFont val="Arial"/>
            <family val="2"/>
          </rPr>
          <t>42x34</t>
        </r>
      </text>
    </comment>
    <comment ref="I39" authorId="0">
      <text>
        <r>
          <rPr>
            <sz val="10"/>
            <color indexed="8"/>
            <rFont val="Arial"/>
            <family val="2"/>
          </rPr>
          <t>42x46</t>
        </r>
      </text>
    </comment>
    <comment ref="I41" authorId="0">
      <text>
        <r>
          <rPr>
            <sz val="10"/>
            <color indexed="8"/>
            <rFont val="Arial"/>
            <family val="2"/>
          </rPr>
          <t>42x50</t>
        </r>
      </text>
    </comment>
    <comment ref="I42" authorId="0">
      <text>
        <r>
          <rPr>
            <sz val="10"/>
            <color indexed="8"/>
            <rFont val="Arial"/>
            <family val="2"/>
          </rPr>
          <t>77xRxC</t>
        </r>
      </text>
    </comment>
    <comment ref="I43" authorId="0">
      <text>
        <r>
          <rPr>
            <sz val="10"/>
            <color indexed="8"/>
            <rFont val="Arial"/>
            <family val="2"/>
          </rPr>
          <t>42x60</t>
        </r>
      </text>
    </comment>
    <comment ref="I55" authorId="0">
      <text>
        <r>
          <rPr>
            <sz val="10"/>
            <color indexed="8"/>
            <rFont val="Arial"/>
            <family val="2"/>
          </rPr>
          <t>42x85 ½ perforado Pedir con 3 filas de agujeros</t>
        </r>
      </text>
    </comment>
    <comment ref="I57" authorId="0">
      <text>
        <r>
          <rPr>
            <sz val="10"/>
            <color indexed="8"/>
            <rFont val="Arial"/>
            <family val="2"/>
          </rPr>
          <t>42x90 ½ perforado Pedir con 3 filas de agujeros</t>
        </r>
      </text>
    </comment>
    <comment ref="I6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63" authorId="0">
      <text>
        <r>
          <rPr>
            <sz val="10"/>
            <color indexed="8"/>
            <rFont val="Arial"/>
            <family val="2"/>
          </rPr>
          <t>D42xH95 (30mm Perforado)</t>
        </r>
      </text>
    </comment>
    <comment ref="I67" authorId="0">
      <text>
        <r>
          <rPr>
            <sz val="10"/>
            <color indexed="8"/>
            <rFont val="Arial"/>
            <family val="2"/>
          </rPr>
          <t>42x110</t>
        </r>
      </text>
    </comment>
    <comment ref="I69" authorId="0">
      <text>
        <r>
          <rPr>
            <sz val="10"/>
            <color indexed="8"/>
            <rFont val="Arial"/>
            <family val="2"/>
          </rPr>
          <t>42x110 30mm Perforado</t>
        </r>
      </text>
    </comment>
    <comment ref="I7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73" authorId="0">
      <text>
        <r>
          <rPr>
            <sz val="10"/>
            <color indexed="8"/>
            <rFont val="Arial"/>
            <family val="2"/>
          </rPr>
          <t>Pedir con 3 filas de agujeros (20mm)</t>
        </r>
      </text>
    </comment>
    <comment ref="I77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88" authorId="0">
      <text>
        <r>
          <rPr>
            <sz val="9"/>
            <color indexed="8"/>
            <rFont val="Arial"/>
            <family val="2"/>
          </rPr>
          <t>92 x 13/16 x 16  (plana)</t>
        </r>
      </text>
    </comment>
    <comment ref="I91" authorId="0">
      <text>
        <r>
          <rPr>
            <sz val="10"/>
            <color indexed="8"/>
            <rFont val="Arial"/>
            <family val="2"/>
          </rPr>
          <t>43x240c/2 ref pedir de 230</t>
        </r>
      </text>
    </comment>
    <comment ref="K15" authorId="0">
      <text>
        <r>
          <rPr>
            <sz val="10"/>
            <color indexed="8"/>
            <rFont val="Arial"/>
            <family val="2"/>
          </rPr>
          <t>Ver si la hacen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indexed="8"/>
            <rFont val="Arial"/>
            <family val="2"/>
          </rPr>
          <t>Pegar sobre la chapa de las tapas</t>
        </r>
      </text>
    </comment>
    <comment ref="A101" authorId="0">
      <text>
        <r>
          <rPr>
            <sz val="10"/>
            <color indexed="8"/>
            <rFont val="Arial"/>
            <family val="2"/>
          </rPr>
          <t>Ojo Daniel puso 215</t>
        </r>
      </text>
    </comment>
    <comment ref="C10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18" authorId="0">
      <text>
        <r>
          <rPr>
            <sz val="10"/>
            <color indexed="8"/>
            <rFont val="Arial"/>
            <family val="2"/>
          </rPr>
          <t>A Cotizar</t>
        </r>
      </text>
    </comment>
    <comment ref="C24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C28" authorId="0">
      <text>
        <r>
          <rPr>
            <sz val="10"/>
            <color indexed="8"/>
            <rFont val="Arial"/>
            <family val="2"/>
          </rPr>
          <t>A ojo</t>
        </r>
      </text>
    </comment>
    <comment ref="D3" authorId="0">
      <text>
        <r>
          <rPr>
            <sz val="10"/>
            <color indexed="8"/>
            <rFont val="Arial"/>
            <family val="2"/>
          </rPr>
          <t>3%+8%</t>
        </r>
      </text>
    </comment>
    <comment ref="D27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38" authorId="0">
      <text>
        <r>
          <rPr>
            <sz val="10"/>
            <color indexed="8"/>
            <rFont val="Arial"/>
            <family val="2"/>
          </rPr>
          <t>Estampada</t>
        </r>
      </text>
    </comment>
    <comment ref="D182" authorId="0">
      <text>
        <r>
          <rPr>
            <sz val="10"/>
            <color indexed="8"/>
            <rFont val="Arial"/>
            <family val="2"/>
          </rPr>
          <t>Soldada</t>
        </r>
      </text>
    </comment>
    <comment ref="E146" authorId="0">
      <text>
        <r>
          <rPr>
            <sz val="10"/>
            <color indexed="8"/>
            <rFont val="Arial"/>
            <family val="2"/>
          </rPr>
          <t>Solo para USR</t>
        </r>
      </text>
    </comment>
    <comment ref="F2" authorId="0">
      <text>
        <r>
          <rPr>
            <sz val="10"/>
            <color indexed="8"/>
            <rFont val="Arial"/>
            <family val="2"/>
          </rPr>
          <t>Precio de la chapa 0.25. La 0,35 = 0.25*1,30855</t>
        </r>
      </text>
    </comment>
    <comment ref="H101" authorId="0">
      <text>
        <r>
          <rPr>
            <sz val="10"/>
            <color indexed="8"/>
            <rFont val="Arial"/>
            <family val="2"/>
          </rPr>
          <t>O1050 (25x3)</t>
        </r>
      </text>
    </comment>
    <comment ref="H157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188" authorId="0">
      <text>
        <r>
          <rPr>
            <sz val="10"/>
            <color indexed="8"/>
            <rFont val="Arial"/>
            <family val="2"/>
          </rPr>
          <t>Pedir de a 500</t>
        </r>
      </text>
    </comment>
    <comment ref="H204" authorId="0">
      <text>
        <r>
          <rPr>
            <sz val="10"/>
            <color indexed="8"/>
            <rFont val="Arial"/>
            <family val="2"/>
          </rPr>
          <t>Pedirla electro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31x85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41x150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32x40</t>
        </r>
      </text>
    </comment>
    <comment ref="I14" authorId="0">
      <text>
        <r>
          <rPr>
            <sz val="10"/>
            <color indexed="8"/>
            <rFont val="Arial"/>
            <family val="2"/>
          </rPr>
          <t>62x27B</t>
        </r>
      </text>
    </comment>
    <comment ref="I15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33x57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>32x80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36x113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39x35</t>
        </r>
      </text>
    </comment>
    <comment ref="I25" authorId="0">
      <text>
        <r>
          <rPr>
            <sz val="9"/>
            <color indexed="8"/>
            <rFont val="Tahoma"/>
            <family val="2"/>
          </rPr>
          <t>38x45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41x48</t>
        </r>
      </text>
    </comment>
    <comment ref="I29" authorId="0">
      <text>
        <r>
          <rPr>
            <b/>
            <sz val="9"/>
            <color indexed="8"/>
            <rFont val="Tahoma"/>
            <family val="2"/>
          </rPr>
          <t>40x50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>38x61</t>
        </r>
      </text>
    </comment>
    <comment ref="I32" authorId="0">
      <text>
        <r>
          <rPr>
            <sz val="10"/>
            <color indexed="8"/>
            <rFont val="Arial"/>
            <family val="2"/>
          </rPr>
          <t>69xEx20</t>
        </r>
      </text>
    </comment>
    <comment ref="I33" authorId="0">
      <text>
        <r>
          <rPr>
            <sz val="10"/>
            <color indexed="8"/>
            <rFont val="Arial"/>
            <family val="2"/>
          </rPr>
          <t>42x28</t>
        </r>
      </text>
    </comment>
    <comment ref="I35" authorId="0">
      <text>
        <r>
          <rPr>
            <sz val="10"/>
            <color indexed="8"/>
            <rFont val="Arial"/>
            <family val="2"/>
          </rPr>
          <t>42x31</t>
        </r>
      </text>
    </comment>
    <comment ref="I37" authorId="0">
      <text>
        <r>
          <rPr>
            <sz val="10"/>
            <color indexed="8"/>
            <rFont val="Arial"/>
            <family val="2"/>
          </rPr>
          <t>42x34</t>
        </r>
      </text>
    </comment>
    <comment ref="I39" authorId="0">
      <text>
        <r>
          <rPr>
            <sz val="10"/>
            <color indexed="8"/>
            <rFont val="Arial"/>
            <family val="2"/>
          </rPr>
          <t>42x46</t>
        </r>
      </text>
    </comment>
    <comment ref="I41" authorId="0">
      <text>
        <r>
          <rPr>
            <sz val="10"/>
            <color indexed="8"/>
            <rFont val="Arial"/>
            <family val="2"/>
          </rPr>
          <t>42x50</t>
        </r>
      </text>
    </comment>
    <comment ref="I42" authorId="0">
      <text>
        <r>
          <rPr>
            <sz val="10"/>
            <color indexed="8"/>
            <rFont val="Arial"/>
            <family val="2"/>
          </rPr>
          <t>77xRxC</t>
        </r>
      </text>
    </comment>
    <comment ref="I43" authorId="0">
      <text>
        <r>
          <rPr>
            <sz val="10"/>
            <color indexed="8"/>
            <rFont val="Arial"/>
            <family val="2"/>
          </rPr>
          <t>42x60</t>
        </r>
      </text>
    </comment>
    <comment ref="I55" authorId="0">
      <text>
        <r>
          <rPr>
            <sz val="10"/>
            <color indexed="8"/>
            <rFont val="Arial"/>
            <family val="2"/>
          </rPr>
          <t>42x85 ½ perforado Pedir con 3 filas de agujeros</t>
        </r>
      </text>
    </comment>
    <comment ref="I57" authorId="0">
      <text>
        <r>
          <rPr>
            <sz val="10"/>
            <color indexed="8"/>
            <rFont val="Arial"/>
            <family val="2"/>
          </rPr>
          <t>42x90 ½ perforado Pedir con 3 filas de agujeros</t>
        </r>
      </text>
    </comment>
    <comment ref="I6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63" authorId="0">
      <text>
        <r>
          <rPr>
            <sz val="10"/>
            <color indexed="8"/>
            <rFont val="Arial"/>
            <family val="2"/>
          </rPr>
          <t>D42xH95 (30mm Perforado)</t>
        </r>
      </text>
    </comment>
    <comment ref="I67" authorId="0">
      <text>
        <r>
          <rPr>
            <sz val="10"/>
            <color indexed="8"/>
            <rFont val="Arial"/>
            <family val="2"/>
          </rPr>
          <t>42x110</t>
        </r>
      </text>
    </comment>
    <comment ref="I69" authorId="0">
      <text>
        <r>
          <rPr>
            <sz val="10"/>
            <color indexed="8"/>
            <rFont val="Arial"/>
            <family val="2"/>
          </rPr>
          <t>42x110 30mm Perforado</t>
        </r>
      </text>
    </comment>
    <comment ref="I71" authorId="0">
      <text>
        <r>
          <rPr>
            <sz val="10"/>
            <color indexed="8"/>
            <rFont val="Arial"/>
            <family val="2"/>
          </rPr>
          <t>D42xH95 (2 filas aug) Pedir con 3 filas</t>
        </r>
      </text>
    </comment>
    <comment ref="I73" authorId="0">
      <text>
        <r>
          <rPr>
            <sz val="10"/>
            <color indexed="8"/>
            <rFont val="Arial"/>
            <family val="2"/>
          </rPr>
          <t>Pedir con 3 filas de agujeros (20mm)</t>
        </r>
      </text>
    </comment>
    <comment ref="I77" authorId="0">
      <text>
        <r>
          <rPr>
            <sz val="10"/>
            <color indexed="8"/>
            <rFont val="Arial"/>
            <family val="2"/>
          </rPr>
          <t>42x150 10hileras perf.</t>
        </r>
      </text>
    </comment>
    <comment ref="I88" authorId="0">
      <text>
        <r>
          <rPr>
            <sz val="9"/>
            <color indexed="8"/>
            <rFont val="Arial"/>
            <family val="2"/>
          </rPr>
          <t>92 x 13/16 x 16  (plana)</t>
        </r>
      </text>
    </comment>
    <comment ref="I91" authorId="0">
      <text>
        <r>
          <rPr>
            <sz val="10"/>
            <color indexed="8"/>
            <rFont val="Arial"/>
            <family val="2"/>
          </rPr>
          <t>43x240c/2 ref pedir de 230</t>
        </r>
      </text>
    </comment>
    <comment ref="K15" authorId="0">
      <text>
        <r>
          <rPr>
            <sz val="10"/>
            <color indexed="8"/>
            <rFont val="Arial"/>
            <family val="2"/>
          </rPr>
          <t>Ver si la hacen</t>
        </r>
      </text>
    </comment>
  </commentList>
</comments>
</file>

<file path=xl/sharedStrings.xml><?xml version="1.0" encoding="utf-8"?>
<sst xmlns="http://schemas.openxmlformats.org/spreadsheetml/2006/main" count="2301" uniqueCount="1816">
  <si>
    <t>Filpar</t>
  </si>
  <si>
    <t>Argenfar</t>
  </si>
  <si>
    <t>Código Proveedor</t>
  </si>
  <si>
    <t>Precio de Lista</t>
  </si>
  <si>
    <t>Precio con Aumento</t>
  </si>
  <si>
    <t>Precio Final c/Descuento</t>
  </si>
  <si>
    <t>Cantidad</t>
  </si>
  <si>
    <t>Pedido</t>
  </si>
  <si>
    <t>Código</t>
  </si>
  <si>
    <t>% Al que se aplica el Descuento:</t>
  </si>
  <si>
    <t xml:space="preserve">Se usa en </t>
  </si>
  <si>
    <t>Requerido</t>
  </si>
  <si>
    <t>Pintadas</t>
  </si>
  <si>
    <t>Serigrafiadas</t>
  </si>
  <si>
    <t>Crudas</t>
  </si>
  <si>
    <t>D66xH63</t>
  </si>
  <si>
    <t>US642</t>
  </si>
  <si>
    <t>L 66 63 CE</t>
  </si>
  <si>
    <t>FI 110</t>
  </si>
  <si>
    <t>FI110</t>
  </si>
  <si>
    <t>US671</t>
  </si>
  <si>
    <t>65,0x62</t>
  </si>
  <si>
    <t>D66xH73</t>
  </si>
  <si>
    <t>US681</t>
  </si>
  <si>
    <t>L 66 73 CE</t>
  </si>
  <si>
    <t>FI 112</t>
  </si>
  <si>
    <t>D67xH73</t>
  </si>
  <si>
    <t>US871</t>
  </si>
  <si>
    <t>65x67</t>
  </si>
  <si>
    <t>D66xH84</t>
  </si>
  <si>
    <t>US048</t>
  </si>
  <si>
    <t>C 66 88 F</t>
  </si>
  <si>
    <t>FI 111</t>
  </si>
  <si>
    <t>US179</t>
  </si>
  <si>
    <t>65,0x84,5</t>
  </si>
  <si>
    <t>D75xH50</t>
  </si>
  <si>
    <t>US218</t>
  </si>
  <si>
    <t>L 75 50 C</t>
  </si>
  <si>
    <t>FI 105</t>
  </si>
  <si>
    <t>75,0x49,7F</t>
  </si>
  <si>
    <t>D75xH55</t>
  </si>
  <si>
    <t>US040</t>
  </si>
  <si>
    <t>L 75 52 C</t>
  </si>
  <si>
    <t>FI 081</t>
  </si>
  <si>
    <t>US077</t>
  </si>
  <si>
    <t>75,0x55</t>
  </si>
  <si>
    <t>US078</t>
  </si>
  <si>
    <t>US309</t>
  </si>
  <si>
    <t>US1604</t>
  </si>
  <si>
    <t>D75xH60</t>
  </si>
  <si>
    <t>US791</t>
  </si>
  <si>
    <t>L 75 60 C</t>
  </si>
  <si>
    <t>FI 106</t>
  </si>
  <si>
    <t>75,0x62F</t>
  </si>
  <si>
    <t>D75xH60 C/T</t>
  </si>
  <si>
    <t>US050</t>
  </si>
  <si>
    <t>P 75 60 CTH</t>
  </si>
  <si>
    <t>FI 095</t>
  </si>
  <si>
    <t>FI095</t>
  </si>
  <si>
    <t>75x60 c/T Sold.</t>
  </si>
  <si>
    <t>D75xH75</t>
  </si>
  <si>
    <t>US005</t>
  </si>
  <si>
    <t>L 75 75 C</t>
  </si>
  <si>
    <t>FI 082</t>
  </si>
  <si>
    <t>FI082</t>
  </si>
  <si>
    <t>US047</t>
  </si>
  <si>
    <t>75,0x75</t>
  </si>
  <si>
    <t>US130</t>
  </si>
  <si>
    <t>USG650</t>
  </si>
  <si>
    <t>D75xH84</t>
  </si>
  <si>
    <t>US049</t>
  </si>
  <si>
    <t>C 75 84 F</t>
  </si>
  <si>
    <t>D75xH75 C/T</t>
  </si>
  <si>
    <t>US252</t>
  </si>
  <si>
    <t>P 75 77 CTH</t>
  </si>
  <si>
    <t>FI 083</t>
  </si>
  <si>
    <t>FI082 c/T</t>
  </si>
  <si>
    <t>75x75 c/T Sold.</t>
  </si>
  <si>
    <t>US041</t>
  </si>
  <si>
    <t>FI 084</t>
  </si>
  <si>
    <t>US109</t>
  </si>
  <si>
    <t>75,0x84</t>
  </si>
  <si>
    <t>US134</t>
  </si>
  <si>
    <t>L 75 84 C</t>
  </si>
  <si>
    <t>US144</t>
  </si>
  <si>
    <t>US711</t>
  </si>
  <si>
    <t>KM385T.10500</t>
  </si>
  <si>
    <t>USG1650</t>
  </si>
  <si>
    <t>D75xH84 C/T</t>
  </si>
  <si>
    <t>US713</t>
  </si>
  <si>
    <t>P 75 88 CTH</t>
  </si>
  <si>
    <t>FI 085</t>
  </si>
  <si>
    <t>75,0x84 c/T Sold.</t>
  </si>
  <si>
    <t>D75xH84 C/P</t>
  </si>
  <si>
    <t>USG436</t>
  </si>
  <si>
    <t>P 75 84 CT8</t>
  </si>
  <si>
    <t>Con Purgador</t>
  </si>
  <si>
    <t>D75xH94</t>
  </si>
  <si>
    <t>US044</t>
  </si>
  <si>
    <t>L 75 92 C</t>
  </si>
  <si>
    <t>FI 086</t>
  </si>
  <si>
    <t>FI086</t>
  </si>
  <si>
    <t>US129</t>
  </si>
  <si>
    <t>75,0x94</t>
  </si>
  <si>
    <t>US315</t>
  </si>
  <si>
    <t>H3.2400.1</t>
  </si>
  <si>
    <t>USG1651</t>
  </si>
  <si>
    <t>D75xH101</t>
  </si>
  <si>
    <t>C 75 101 C</t>
  </si>
  <si>
    <t>FI 091</t>
  </si>
  <si>
    <t>75x102</t>
  </si>
  <si>
    <t>FI 087</t>
  </si>
  <si>
    <t>75x108</t>
  </si>
  <si>
    <t>D75xH120</t>
  </si>
  <si>
    <t>US561</t>
  </si>
  <si>
    <t>C 75 117 C</t>
  </si>
  <si>
    <t>FI 088</t>
  </si>
  <si>
    <t>FI088</t>
  </si>
  <si>
    <t>US600</t>
  </si>
  <si>
    <t>75,0x120</t>
  </si>
  <si>
    <t>USG731</t>
  </si>
  <si>
    <t>C 75 117 F</t>
  </si>
  <si>
    <t>KM385T.09300</t>
  </si>
  <si>
    <t>US1603</t>
  </si>
  <si>
    <t>USG913/1</t>
  </si>
  <si>
    <t>D75xH120 C/T</t>
  </si>
  <si>
    <t>US619</t>
  </si>
  <si>
    <t>P 75 117 CTHS</t>
  </si>
  <si>
    <t>FI 089</t>
  </si>
  <si>
    <t>75,0x120 c/T Sold.</t>
  </si>
  <si>
    <t>D75xH120 C/P</t>
  </si>
  <si>
    <t>USG661</t>
  </si>
  <si>
    <t>P 75 117 PTP8</t>
  </si>
  <si>
    <t>FI 100</t>
  </si>
  <si>
    <t>75,0x120 c/PP</t>
  </si>
  <si>
    <t>P 75 117 CT8</t>
  </si>
  <si>
    <t>D75xH135 C/P</t>
  </si>
  <si>
    <t>USG662</t>
  </si>
  <si>
    <t>P 75 135 PTP8</t>
  </si>
  <si>
    <t>P 75 135 CT8</t>
  </si>
  <si>
    <t>FI 138</t>
  </si>
  <si>
    <t>75x131 c/PM8</t>
  </si>
  <si>
    <t>D75xH140</t>
  </si>
  <si>
    <t>US244</t>
  </si>
  <si>
    <t>C 75 142 C</t>
  </si>
  <si>
    <t>FI 090</t>
  </si>
  <si>
    <t>75x143</t>
  </si>
  <si>
    <t>D75xH100 c/PM8</t>
  </si>
  <si>
    <t>USG371</t>
  </si>
  <si>
    <t>PZ 75 100ECCTP8</t>
  </si>
  <si>
    <t>FI 137</t>
  </si>
  <si>
    <t>75x99 M8</t>
  </si>
  <si>
    <t>P 75 100 ECCT8</t>
  </si>
  <si>
    <t>D83xH73</t>
  </si>
  <si>
    <t>C 82 73 CE</t>
  </si>
  <si>
    <t>FI 078</t>
  </si>
  <si>
    <t>D83xH88</t>
  </si>
  <si>
    <t>C 82 90 CE</t>
  </si>
  <si>
    <t>FI 076</t>
  </si>
  <si>
    <t>C 82 83 CE</t>
  </si>
  <si>
    <t>L 83 83 CE</t>
  </si>
  <si>
    <t>D83xH114 c/PM8</t>
  </si>
  <si>
    <t>USG191</t>
  </si>
  <si>
    <t>PZ 83 114 ECTP8</t>
  </si>
  <si>
    <t>FI 128</t>
  </si>
  <si>
    <t>83x114 M8</t>
  </si>
  <si>
    <t>D83xH127 c/PM8</t>
  </si>
  <si>
    <t>USG571</t>
  </si>
  <si>
    <t>PZ 83 128 ECTP8</t>
  </si>
  <si>
    <t>FI 130</t>
  </si>
  <si>
    <t>83x127 M8</t>
  </si>
  <si>
    <t>P 83 128 ECT8</t>
  </si>
  <si>
    <t>PE 83 128ELCTP8</t>
  </si>
  <si>
    <t>D83xH127 c/PM10</t>
  </si>
  <si>
    <t>P 83 128 ECT10</t>
  </si>
  <si>
    <t>FI 129</t>
  </si>
  <si>
    <t>83x123 M8</t>
  </si>
  <si>
    <t>PZ 83 128ECTP10</t>
  </si>
  <si>
    <t>D75xH130 c/PM8</t>
  </si>
  <si>
    <t>USG861</t>
  </si>
  <si>
    <t>PZ 75 130ECCTP8</t>
  </si>
  <si>
    <t>WK842/2</t>
  </si>
  <si>
    <t>75x131 M8</t>
  </si>
  <si>
    <t>D83xH140 c/PM8</t>
  </si>
  <si>
    <t>USG671</t>
  </si>
  <si>
    <t>PZ 83 140 ECT8</t>
  </si>
  <si>
    <t>FI 133</t>
  </si>
  <si>
    <t>83x145 M8</t>
  </si>
  <si>
    <t>PZ 83 140 ECTP8</t>
  </si>
  <si>
    <t>P 83 140 ECT8</t>
  </si>
  <si>
    <t>PE 83 140 ECTP8</t>
  </si>
  <si>
    <t>D83xH140 c/PM10</t>
  </si>
  <si>
    <t>USG491</t>
  </si>
  <si>
    <t>P 83 140 ECT10</t>
  </si>
  <si>
    <t>FI 134</t>
  </si>
  <si>
    <t>83x145 M10</t>
  </si>
  <si>
    <t>PE 83 140 ECTP10</t>
  </si>
  <si>
    <t>PZ 83 140ECTP10</t>
  </si>
  <si>
    <t>D84,5xH72</t>
  </si>
  <si>
    <t>USG800</t>
  </si>
  <si>
    <t>L 84 72 R</t>
  </si>
  <si>
    <t>FI 001</t>
  </si>
  <si>
    <t>Tacita Perkins</t>
  </si>
  <si>
    <t>USG801</t>
  </si>
  <si>
    <t>82,4x72,2</t>
  </si>
  <si>
    <t>D84,5xH100</t>
  </si>
  <si>
    <t>USG803</t>
  </si>
  <si>
    <t>C 84 100 R</t>
  </si>
  <si>
    <t>FI 002</t>
  </si>
  <si>
    <t>Tacita Deutz</t>
  </si>
  <si>
    <t>82,4x100</t>
  </si>
  <si>
    <t>D84,5xH113</t>
  </si>
  <si>
    <t>USG796</t>
  </si>
  <si>
    <t>C 84 113 R</t>
  </si>
  <si>
    <t>FI 006</t>
  </si>
  <si>
    <t>Tacita Traffic</t>
  </si>
  <si>
    <t>82,4x111,5</t>
  </si>
  <si>
    <t>D92xH60</t>
  </si>
  <si>
    <t>US057</t>
  </si>
  <si>
    <t>L 92 60 C</t>
  </si>
  <si>
    <t>FI 007</t>
  </si>
  <si>
    <t>92,3x60</t>
  </si>
  <si>
    <t>D92xH69</t>
  </si>
  <si>
    <t>US072</t>
  </si>
  <si>
    <t>L 92 69 C</t>
  </si>
  <si>
    <t>FI 008</t>
  </si>
  <si>
    <t>FI008</t>
  </si>
  <si>
    <t>US522</t>
  </si>
  <si>
    <t>92,3x69</t>
  </si>
  <si>
    <t>US105</t>
  </si>
  <si>
    <t>P 92 69 F</t>
  </si>
  <si>
    <t>D92xH84</t>
  </si>
  <si>
    <t>US510</t>
  </si>
  <si>
    <t>L 92 84 C</t>
  </si>
  <si>
    <t>FI 012</t>
  </si>
  <si>
    <t>US888</t>
  </si>
  <si>
    <t>92,3x84</t>
  </si>
  <si>
    <t>L 92 84 F</t>
  </si>
  <si>
    <t>US028</t>
  </si>
  <si>
    <t>C 92 77 FP</t>
  </si>
  <si>
    <t>D92xH94</t>
  </si>
  <si>
    <t>US032</t>
  </si>
  <si>
    <t>L 92 94 C</t>
  </si>
  <si>
    <t>FI 017</t>
  </si>
  <si>
    <t>FI017</t>
  </si>
  <si>
    <t>US090</t>
  </si>
  <si>
    <t>92,3x94</t>
  </si>
  <si>
    <t>US147</t>
  </si>
  <si>
    <t>L 92 94 F</t>
  </si>
  <si>
    <t>US203</t>
  </si>
  <si>
    <t>US205</t>
  </si>
  <si>
    <t>US215</t>
  </si>
  <si>
    <t>US990</t>
  </si>
  <si>
    <t>US920</t>
  </si>
  <si>
    <t>C 92 96 F</t>
  </si>
  <si>
    <t>D92xH102</t>
  </si>
  <si>
    <t>USR</t>
  </si>
  <si>
    <t>P 92 108 CE</t>
  </si>
  <si>
    <t>FI 018</t>
  </si>
  <si>
    <t>USR BAJO</t>
  </si>
  <si>
    <t>92,3x102 Electro</t>
  </si>
  <si>
    <t>PE 92 108 FAE</t>
  </si>
  <si>
    <t>D92xH108</t>
  </si>
  <si>
    <t>US097</t>
  </si>
  <si>
    <t>L 92 108 F</t>
  </si>
  <si>
    <t>FI 019</t>
  </si>
  <si>
    <t>92,3x102</t>
  </si>
  <si>
    <t>D92xH120</t>
  </si>
  <si>
    <t>US011</t>
  </si>
  <si>
    <t>C 92 120 C</t>
  </si>
  <si>
    <t>FI 020</t>
  </si>
  <si>
    <t>FI020</t>
  </si>
  <si>
    <t>US206</t>
  </si>
  <si>
    <t>92,3x120</t>
  </si>
  <si>
    <t>US207</t>
  </si>
  <si>
    <t>C 92 120 F</t>
  </si>
  <si>
    <t>US902</t>
  </si>
  <si>
    <t>US903</t>
  </si>
  <si>
    <t>JX0810.02</t>
  </si>
  <si>
    <t>US1632</t>
  </si>
  <si>
    <t>D92xH132</t>
  </si>
  <si>
    <t>US023</t>
  </si>
  <si>
    <t>L 92 132 C</t>
  </si>
  <si>
    <t>FI 027</t>
  </si>
  <si>
    <t>US034</t>
  </si>
  <si>
    <t>92,3x132</t>
  </si>
  <si>
    <t>US054</t>
  </si>
  <si>
    <t>L 92 132 F</t>
  </si>
  <si>
    <t>US068</t>
  </si>
  <si>
    <t>P 92 132 C</t>
  </si>
  <si>
    <t>FI 028</t>
  </si>
  <si>
    <t>US1602</t>
  </si>
  <si>
    <t>92,3x132 Fiat 1500</t>
  </si>
  <si>
    <t>US206/1</t>
  </si>
  <si>
    <t>FI 032</t>
  </si>
  <si>
    <t>92,3x135</t>
  </si>
  <si>
    <t>D92xH139 C/T</t>
  </si>
  <si>
    <t>US069</t>
  </si>
  <si>
    <t>P 92 137 CTHS</t>
  </si>
  <si>
    <t>FI 026</t>
  </si>
  <si>
    <t>92,3x132 c/T Sold.</t>
  </si>
  <si>
    <t>D92xH132 C/P</t>
  </si>
  <si>
    <t>USG940</t>
  </si>
  <si>
    <t>C 92 132 CT8</t>
  </si>
  <si>
    <t>FI 040</t>
  </si>
  <si>
    <t>92,3x135 c/PM8</t>
  </si>
  <si>
    <t>D92xH144</t>
  </si>
  <si>
    <t>PE 92 144 CEC</t>
  </si>
  <si>
    <t>FI 037</t>
  </si>
  <si>
    <t>USR INTERMEDIO</t>
  </si>
  <si>
    <t>92,3x144 Electro</t>
  </si>
  <si>
    <t>P 92 142 C</t>
  </si>
  <si>
    <t>FI 036</t>
  </si>
  <si>
    <t>P 92 144 CEC</t>
  </si>
  <si>
    <t>92,3x139</t>
  </si>
  <si>
    <t>D92xH173</t>
  </si>
  <si>
    <t>US5018</t>
  </si>
  <si>
    <t>CZ 92 173 CEC</t>
  </si>
  <si>
    <t>FI 050</t>
  </si>
  <si>
    <t>USG503</t>
  </si>
  <si>
    <t>92,3x173 EZ</t>
  </si>
  <si>
    <t>USG521</t>
  </si>
  <si>
    <t>C 92 173 C</t>
  </si>
  <si>
    <t>FI 038</t>
  </si>
  <si>
    <t>USG5012</t>
  </si>
  <si>
    <t>P 92 171 F</t>
  </si>
  <si>
    <t>92,3x173</t>
  </si>
  <si>
    <t>D92xH180</t>
  </si>
  <si>
    <t>US208</t>
  </si>
  <si>
    <t>C 92 180 C / C92 180 F</t>
  </si>
  <si>
    <t>FI 043</t>
  </si>
  <si>
    <t>92,3x180</t>
  </si>
  <si>
    <t>D92xH190</t>
  </si>
  <si>
    <t>P 92 190 F</t>
  </si>
  <si>
    <t>FI 052</t>
  </si>
  <si>
    <t>USR ALTO</t>
  </si>
  <si>
    <t>92,3x200 Electro</t>
  </si>
  <si>
    <t>D92xH200</t>
  </si>
  <si>
    <t>US204</t>
  </si>
  <si>
    <t>C 92 200 C</t>
  </si>
  <si>
    <t>US962</t>
  </si>
  <si>
    <t>92,3x200</t>
  </si>
  <si>
    <t>USG213</t>
  </si>
  <si>
    <t>C 92 200 F</t>
  </si>
  <si>
    <t>P 92 200 C</t>
  </si>
  <si>
    <t>P 92 200 F</t>
  </si>
  <si>
    <t>D107xH96</t>
  </si>
  <si>
    <t>US855</t>
  </si>
  <si>
    <t>C 107 96 F</t>
  </si>
  <si>
    <t>FI 060 107,3x96</t>
  </si>
  <si>
    <t>D107xH143</t>
  </si>
  <si>
    <t>USC210</t>
  </si>
  <si>
    <t>C 107 143 CE</t>
  </si>
  <si>
    <t>FI 062</t>
  </si>
  <si>
    <t>107,3x140</t>
  </si>
  <si>
    <t>P 107 143 CE</t>
  </si>
  <si>
    <t>D107xH180</t>
  </si>
  <si>
    <t>US168</t>
  </si>
  <si>
    <t>C 107 180 CE</t>
  </si>
  <si>
    <t>FI 063</t>
  </si>
  <si>
    <t>????</t>
  </si>
  <si>
    <t>US201</t>
  </si>
  <si>
    <t>107,3x180</t>
  </si>
  <si>
    <t>USG811</t>
  </si>
  <si>
    <t>P 107 180 CE</t>
  </si>
  <si>
    <t>D107xH230</t>
  </si>
  <si>
    <t>US202</t>
  </si>
  <si>
    <t>P 107 230 CEAP</t>
  </si>
  <si>
    <t>FI 068</t>
  </si>
  <si>
    <t>FI068</t>
  </si>
  <si>
    <t>107,3x230</t>
  </si>
  <si>
    <t>D107xH260</t>
  </si>
  <si>
    <t>US209</t>
  </si>
  <si>
    <t>P 107 260 CEAP</t>
  </si>
  <si>
    <t>FI 072</t>
  </si>
  <si>
    <t>107,3x258</t>
  </si>
  <si>
    <t>D117xH173</t>
  </si>
  <si>
    <t>USH387</t>
  </si>
  <si>
    <t>S 117 173 CE</t>
  </si>
  <si>
    <t>FI 113</t>
  </si>
  <si>
    <t>117x173 Pesado</t>
  </si>
  <si>
    <t>D117xH290</t>
  </si>
  <si>
    <t>US300</t>
  </si>
  <si>
    <t>S 117 290 CE</t>
  </si>
  <si>
    <t>FI 117</t>
  </si>
  <si>
    <t>117x248 Pesado</t>
  </si>
  <si>
    <t>D134xH79 C/T</t>
  </si>
  <si>
    <t>US323</t>
  </si>
  <si>
    <t>S 134 79 CTHS</t>
  </si>
  <si>
    <t>D92xH139</t>
  </si>
  <si>
    <t>C 92 139 C</t>
  </si>
  <si>
    <t>L 92 137 F</t>
  </si>
  <si>
    <t>Ranger Comb.</t>
  </si>
  <si>
    <t>PZ 8379 140 C2T</t>
  </si>
  <si>
    <t>D107xH166 c/P8</t>
  </si>
  <si>
    <t>P 107 166 CT8</t>
  </si>
  <si>
    <t>P 107 166 PTP8</t>
  </si>
  <si>
    <t>D107xH280</t>
  </si>
  <si>
    <t>Total:</t>
  </si>
  <si>
    <t>D92xH173 c/P8</t>
  </si>
  <si>
    <t>P 92 177 CT8</t>
  </si>
  <si>
    <t>FI 046</t>
  </si>
  <si>
    <t>92,3x173 c/P M8</t>
  </si>
  <si>
    <t>D107xH190 c/P8</t>
  </si>
  <si>
    <t>P 107 232 ECCT8</t>
  </si>
  <si>
    <t>FI 066</t>
  </si>
  <si>
    <t>107,3x190 c/P M8</t>
  </si>
  <si>
    <t>P 107 190 CT10</t>
  </si>
  <si>
    <t>FI 096</t>
  </si>
  <si>
    <t>92,5x136,5 (WK828)</t>
  </si>
  <si>
    <t>Estimado</t>
  </si>
  <si>
    <t>Total</t>
  </si>
  <si>
    <t>Navia</t>
  </si>
  <si>
    <t>Eurofil</t>
  </si>
  <si>
    <t>Lisistel</t>
  </si>
  <si>
    <t>D66 3/4x16</t>
  </si>
  <si>
    <t xml:space="preserve"> 04-062</t>
  </si>
  <si>
    <t>66x3/4x16</t>
  </si>
  <si>
    <t>No se fabrica</t>
  </si>
  <si>
    <t>Efectivo 100%:</t>
  </si>
  <si>
    <t>D66 m20x1.5</t>
  </si>
  <si>
    <t>04-060</t>
  </si>
  <si>
    <t>66x20x1,5</t>
  </si>
  <si>
    <t>D67 m20x1.5 Embutida</t>
  </si>
  <si>
    <t>04-061 (neg)</t>
  </si>
  <si>
    <t>66x20x1,5 neg.</t>
  </si>
  <si>
    <t>D75 5/8”x18 (2 aug.)</t>
  </si>
  <si>
    <t>04-008</t>
  </si>
  <si>
    <t>75x5/8x18 (2 aug)</t>
  </si>
  <si>
    <t>D75  3/4”x16 – J. FORD</t>
  </si>
  <si>
    <t>04-002</t>
  </si>
  <si>
    <t>75x3/4x16</t>
  </si>
  <si>
    <t>FT 120</t>
  </si>
  <si>
    <t>D75 13/16”x16 – J. FORD</t>
  </si>
  <si>
    <t>04-005</t>
  </si>
  <si>
    <t>75x13/16x16</t>
  </si>
  <si>
    <t>FT 123</t>
  </si>
  <si>
    <t>D75  M24x2 – J. FORD</t>
  </si>
  <si>
    <t>DOWEL</t>
  </si>
  <si>
    <t>D75 M20x1,5 – J. FORD</t>
  </si>
  <si>
    <t>04-000</t>
  </si>
  <si>
    <t>75x20x1,5</t>
  </si>
  <si>
    <t>FT 126</t>
  </si>
  <si>
    <t>D75 m18x1,5</t>
  </si>
  <si>
    <t>04-004</t>
  </si>
  <si>
    <t>75x18x1,5</t>
  </si>
  <si>
    <t>3007518</t>
  </si>
  <si>
    <t>FT 124</t>
  </si>
  <si>
    <t>D75 m16x1,5</t>
  </si>
  <si>
    <t>04-006</t>
  </si>
  <si>
    <t>75x16x1,5</t>
  </si>
  <si>
    <t>3007516</t>
  </si>
  <si>
    <t>FT 122</t>
  </si>
  <si>
    <t>D82 m16x1,5 J. Angosta</t>
  </si>
  <si>
    <t>04-001</t>
  </si>
  <si>
    <t>30F8216</t>
  </si>
  <si>
    <t>D82 M18x1,5 J. Ancha</t>
  </si>
  <si>
    <t>US130/1</t>
  </si>
  <si>
    <t>04-014</t>
  </si>
  <si>
    <t>D92 3/4”x16 6 Ag.</t>
  </si>
  <si>
    <t>04-020</t>
  </si>
  <si>
    <t>92x3/4x16 6 Ag</t>
  </si>
  <si>
    <t>3009234</t>
  </si>
  <si>
    <t>FT 101</t>
  </si>
  <si>
    <t>Usar solo NAVIA para el US054</t>
  </si>
  <si>
    <t xml:space="preserve">Usar NAVIA las otras tocan </t>
  </si>
  <si>
    <t>No para el 054</t>
  </si>
  <si>
    <t>Carcaza pesada usar Eurofil</t>
  </si>
  <si>
    <t>Carcaza pesada usar esta</t>
  </si>
  <si>
    <t>D92 3/4”x16 6 Ag.  Esp3,2 – J. FORD</t>
  </si>
  <si>
    <t>US090/30</t>
  </si>
  <si>
    <t>04-043</t>
  </si>
  <si>
    <t>92x3/4x16 esp 3,2</t>
  </si>
  <si>
    <t>US902/30</t>
  </si>
  <si>
    <t>D92 13/16”x12</t>
  </si>
  <si>
    <t>04-021</t>
  </si>
  <si>
    <t>D92 13/16”x16 esp3.2 – J. CHEVROLET</t>
  </si>
  <si>
    <t>04-022</t>
  </si>
  <si>
    <t>92x13/16x16 Plana</t>
  </si>
  <si>
    <t>30092316</t>
  </si>
  <si>
    <t>FT 118</t>
  </si>
  <si>
    <t>D92 13/16”x16 – J. DEERE – J. FORD</t>
  </si>
  <si>
    <t>04-044</t>
  </si>
  <si>
    <t>92x13/16x16 J. Deere</t>
  </si>
  <si>
    <t>30092317</t>
  </si>
  <si>
    <t>FT 117</t>
  </si>
  <si>
    <t>D92 13/16”x18 – J. FORD</t>
  </si>
  <si>
    <t>04-047</t>
  </si>
  <si>
    <t>92x13/16x18</t>
  </si>
  <si>
    <t>30092318</t>
  </si>
  <si>
    <t>FT 119</t>
  </si>
  <si>
    <t>D92 11/16”x16 – J. FORD</t>
  </si>
  <si>
    <t>04-055</t>
  </si>
  <si>
    <t>D92 11/16”x16</t>
  </si>
  <si>
    <t>D92 1"x16 esp 3,2 – J. FORD</t>
  </si>
  <si>
    <t>04-042</t>
  </si>
  <si>
    <t>92 1"x16 esp 3,2</t>
  </si>
  <si>
    <t>D92 1"x14 esp 3,2 – J. FORD</t>
  </si>
  <si>
    <t>04-025</t>
  </si>
  <si>
    <t>92 1"x14 esp 3,2</t>
  </si>
  <si>
    <t>FT 103???</t>
  </si>
  <si>
    <t>D92 1"x14 esp 3,2 – J. CHEVROLET</t>
  </si>
  <si>
    <t>USG</t>
  </si>
  <si>
    <t>04-069</t>
  </si>
  <si>
    <t>D92 1"x12 esp 3,2 – J. FORD</t>
  </si>
  <si>
    <t>04-040</t>
  </si>
  <si>
    <t>92 1"x12 esp 3,2</t>
  </si>
  <si>
    <t>FT 102</t>
  </si>
  <si>
    <t>US1634</t>
  </si>
  <si>
    <t>D92 m30x2</t>
  </si>
  <si>
    <t>D92x M27x2 J. FORD</t>
  </si>
  <si>
    <t>US026</t>
  </si>
  <si>
    <t>04-003</t>
  </si>
  <si>
    <t>30G9227</t>
  </si>
  <si>
    <t>D92x M26x1,5 esp3,2 - J. FORD</t>
  </si>
  <si>
    <t>US326</t>
  </si>
  <si>
    <t>04-030</t>
  </si>
  <si>
    <t>92 26x1,5 esp3,2</t>
  </si>
  <si>
    <t>D92 m24x2 – J. FORD</t>
  </si>
  <si>
    <t>04-063</t>
  </si>
  <si>
    <t>No Fabrica</t>
  </si>
  <si>
    <t>US1633</t>
  </si>
  <si>
    <t>D92 m24x1,5 esp3,2 – J. FORD</t>
  </si>
  <si>
    <t>IVECO</t>
  </si>
  <si>
    <t>04-059</t>
  </si>
  <si>
    <t>92 24x1,5 esp2,5??</t>
  </si>
  <si>
    <t>D92 m23x1,5 esp3,2 – J. FORD</t>
  </si>
  <si>
    <t>04-066</t>
  </si>
  <si>
    <t>92 23x1,5 esp2,5??</t>
  </si>
  <si>
    <t>D92 m22x1,5 esp3,2 – J. FORD</t>
  </si>
  <si>
    <t>04-018</t>
  </si>
  <si>
    <t>92 22x1,5 Doble Junta</t>
  </si>
  <si>
    <t>D92 m22x1,5 – J. CHEVROLET</t>
  </si>
  <si>
    <t>04-032</t>
  </si>
  <si>
    <t>D92 m22x1,5 esp3,2 – J. CHEVROLET</t>
  </si>
  <si>
    <t>04-007</t>
  </si>
  <si>
    <t>D92 M20x1,5 esp3,2 – J. FORD</t>
  </si>
  <si>
    <t>04-037</t>
  </si>
  <si>
    <t>D92 M20x1,5 – J. FORD</t>
  </si>
  <si>
    <t>04-017</t>
  </si>
  <si>
    <t>92 20x1,5 Doble Junta</t>
  </si>
  <si>
    <t>FT 116</t>
  </si>
  <si>
    <t>D92 m20x1.5 junta afuera</t>
  </si>
  <si>
    <t>04-054</t>
  </si>
  <si>
    <t>D92 m18x1,5</t>
  </si>
  <si>
    <t>-</t>
  </si>
  <si>
    <t>04-056</t>
  </si>
  <si>
    <t>92 18x1,5</t>
  </si>
  <si>
    <t>FT 112</t>
  </si>
  <si>
    <t>D92 m16x1,5</t>
  </si>
  <si>
    <t>04-036</t>
  </si>
  <si>
    <t>92 16x1,5</t>
  </si>
  <si>
    <t>FT 108</t>
  </si>
  <si>
    <t>D107 3/4”x16 esp 3,2 – J. FORD</t>
  </si>
  <si>
    <t>04-028</t>
  </si>
  <si>
    <t>107  3/4 esp 3,2</t>
  </si>
  <si>
    <t>FT 144??</t>
  </si>
  <si>
    <t>D107 3/4”x16 esp 2,5 – J. FORD</t>
  </si>
  <si>
    <t>04-026</t>
  </si>
  <si>
    <t>107 3/4 esp 2,5</t>
  </si>
  <si>
    <t>D107 1”x12 esp 3,2 – J. FORD</t>
  </si>
  <si>
    <t>04-027</t>
  </si>
  <si>
    <t>107  1”x12 esp 3,2</t>
  </si>
  <si>
    <t>30107112</t>
  </si>
  <si>
    <t>FT 149??</t>
  </si>
  <si>
    <t>D107 3/4”x16 esp 2,5 – J. Afuera (Comb)</t>
  </si>
  <si>
    <t>30L07114</t>
  </si>
  <si>
    <t>D107 1”x14 esp 3,2 – J. Afuera (Comb)</t>
  </si>
  <si>
    <t>107 x 1 x 14  Ch#3.2</t>
  </si>
  <si>
    <t>D107 1 1/8”x16 esp 4,5 – J. Afuera (Deutz)</t>
  </si>
  <si>
    <t>30E07118</t>
  </si>
  <si>
    <t>D 127x 1 1/2”x16 esp 4,75 - JC   (Hidraulico)</t>
  </si>
  <si>
    <t xml:space="preserve">D 117x 1 1/2”x16  </t>
  </si>
  <si>
    <t>D 114x 2 1/4”x14 esp 3,8 - JC   (Cummins)</t>
  </si>
  <si>
    <t>30114214</t>
  </si>
  <si>
    <t>D 132x 1 1/2”x16 esp 4,75 - JC   (S10)</t>
  </si>
  <si>
    <t>EUROFIL</t>
  </si>
  <si>
    <t>NAVIA</t>
  </si>
  <si>
    <t>TUBOS</t>
  </si>
  <si>
    <t>Precio Final</t>
  </si>
  <si>
    <t>Precio Lista anterior</t>
  </si>
  <si>
    <t>Precio con aumento</t>
  </si>
  <si>
    <t>$/m2 Hojalata 0,25:</t>
  </si>
  <si>
    <t>42x30A</t>
  </si>
  <si>
    <t>UIG290</t>
  </si>
  <si>
    <t>$/m2 Hojalata 0,35:</t>
  </si>
  <si>
    <t>64x40A</t>
  </si>
  <si>
    <t>D29xH85</t>
  </si>
  <si>
    <t>D31xH85</t>
  </si>
  <si>
    <t>26-095</t>
  </si>
  <si>
    <t>Conjunto Peugeot 405</t>
  </si>
  <si>
    <t>D36xH57</t>
  </si>
  <si>
    <t>D30xH68</t>
  </si>
  <si>
    <t>26-261</t>
  </si>
  <si>
    <t>Tapa Superior</t>
  </si>
  <si>
    <t>Tapa Inferior</t>
  </si>
  <si>
    <t>D30xH89</t>
  </si>
  <si>
    <t>26-262</t>
  </si>
  <si>
    <t>UIG443</t>
  </si>
  <si>
    <t>D30xH150</t>
  </si>
  <si>
    <t>26-205</t>
  </si>
  <si>
    <t>Conjunto Renault Express</t>
  </si>
  <si>
    <t>D32xH45</t>
  </si>
  <si>
    <t>26-116</t>
  </si>
  <si>
    <t>70x25B</t>
  </si>
  <si>
    <t>D32xH83</t>
  </si>
  <si>
    <t>UIG460</t>
  </si>
  <si>
    <t>Conjunto twingo</t>
  </si>
  <si>
    <t>26-309</t>
  </si>
  <si>
    <t>D52x25B</t>
  </si>
  <si>
    <t>D36xH81 (UIG480)</t>
  </si>
  <si>
    <t>D32xH80</t>
  </si>
  <si>
    <t>26-069</t>
  </si>
  <si>
    <t>D36xH112</t>
  </si>
  <si>
    <t>26-136</t>
  </si>
  <si>
    <t>UIG732</t>
  </si>
  <si>
    <t>D39xH34</t>
  </si>
  <si>
    <t>26-007</t>
  </si>
  <si>
    <t>Conjunto Chevrolet Astra</t>
  </si>
  <si>
    <t>D30xH89 (2 filas de agujeros, antidrenaje. Antes D28)</t>
  </si>
  <si>
    <t>D39xH43</t>
  </si>
  <si>
    <t>26-113</t>
  </si>
  <si>
    <t>D75x25B</t>
  </si>
  <si>
    <t>D39xH48</t>
  </si>
  <si>
    <t>26-208</t>
  </si>
  <si>
    <t>UIA718 / UIA719</t>
  </si>
  <si>
    <t>D39xH50</t>
  </si>
  <si>
    <t>26-264</t>
  </si>
  <si>
    <t>D39xH60</t>
  </si>
  <si>
    <t>26-121</t>
  </si>
  <si>
    <t>D43xH28</t>
  </si>
  <si>
    <t>26-249</t>
  </si>
  <si>
    <t>64x32B</t>
  </si>
  <si>
    <t>D43xH31</t>
  </si>
  <si>
    <t>26-144</t>
  </si>
  <si>
    <t>UIA726</t>
  </si>
  <si>
    <t>D43xH34</t>
  </si>
  <si>
    <t>D43x34</t>
  </si>
  <si>
    <t>26-295</t>
  </si>
  <si>
    <t>Conjunto VW Polo</t>
  </si>
  <si>
    <t>D43xH46</t>
  </si>
  <si>
    <t>D43xH45</t>
  </si>
  <si>
    <t>26-250</t>
  </si>
  <si>
    <t>64x25B</t>
  </si>
  <si>
    <t>D43xH50</t>
  </si>
  <si>
    <t>D43xH49</t>
  </si>
  <si>
    <t>26-237</t>
  </si>
  <si>
    <t>Conjunto Renault Master / Megane</t>
  </si>
  <si>
    <t>D43xH60</t>
  </si>
  <si>
    <t>26-245</t>
  </si>
  <si>
    <t>D43xH70</t>
  </si>
  <si>
    <t>D42xH70</t>
  </si>
  <si>
    <t>26-008</t>
  </si>
  <si>
    <t>D43xH70 (1/2 Perforado)</t>
  </si>
  <si>
    <t>D43xH70 (1 Refuerzo)</t>
  </si>
  <si>
    <t>D43xH77</t>
  </si>
  <si>
    <t>D43xH77 Electro 0,4</t>
  </si>
  <si>
    <t>D42xH75</t>
  </si>
  <si>
    <t>26-291</t>
  </si>
  <si>
    <t>D42xH80</t>
  </si>
  <si>
    <t>26-010</t>
  </si>
  <si>
    <t>D43xH85</t>
  </si>
  <si>
    <t>D42xH85</t>
  </si>
  <si>
    <t>26-294</t>
  </si>
  <si>
    <t>D43xH85 (2 ó 3 Filas Agujeros)</t>
  </si>
  <si>
    <t>26-185</t>
  </si>
  <si>
    <t>D43xH90 (2 ó 3 Filas Agujeros)</t>
  </si>
  <si>
    <t>26-300</t>
  </si>
  <si>
    <t>D43xH95</t>
  </si>
  <si>
    <t>D42xH95</t>
  </si>
  <si>
    <t>26-184</t>
  </si>
  <si>
    <t>D43xH95 (2 ó 3 Filas Agujeros)</t>
  </si>
  <si>
    <t>26-202</t>
  </si>
  <si>
    <t>D43xH95 (1/2 Perforado)</t>
  </si>
  <si>
    <t>D43xH95 (antidrenaje ½ perf)</t>
  </si>
  <si>
    <t>26-182</t>
  </si>
  <si>
    <t>D43xH95 (1 Refuerzo)</t>
  </si>
  <si>
    <t>D43xH110</t>
  </si>
  <si>
    <t>D43xH110 (S/R)</t>
  </si>
  <si>
    <t>26-171</t>
  </si>
  <si>
    <t>D43xH110 (1/2 Perforado)</t>
  </si>
  <si>
    <t>D43xH110 (1/2 aug)</t>
  </si>
  <si>
    <t>26-231</t>
  </si>
  <si>
    <t>D43xH110 (2 ó 3 Filas Agujeros)</t>
  </si>
  <si>
    <t>D43xH110 (1 Refuerzo)</t>
  </si>
  <si>
    <t>D42xH110 (Perf. 30mm. Pedir 20mm )</t>
  </si>
  <si>
    <t>26-193</t>
  </si>
  <si>
    <t>D43xH120 Electro 0,4</t>
  </si>
  <si>
    <t>D43xH150 (1/2 Perforado)</t>
  </si>
  <si>
    <t>26-281</t>
  </si>
  <si>
    <t>D43xH150 (1 Refuerzo)</t>
  </si>
  <si>
    <t>D43xH150 (2 Refuerzos)</t>
  </si>
  <si>
    <t>D43xH150 (2 ref)</t>
  </si>
  <si>
    <t>26-131</t>
  </si>
  <si>
    <t>D43xH170 (1 Refuerzo)</t>
  </si>
  <si>
    <t>D43xH170 (2 Refuerzos)</t>
  </si>
  <si>
    <t>D43xH170 (2 ref.)</t>
  </si>
  <si>
    <t>26-196</t>
  </si>
  <si>
    <t>D43xH175 Electro 0,55</t>
  </si>
  <si>
    <t>D43xH200 (2 Refuerzos)</t>
  </si>
  <si>
    <t>D43xH200 (2 ref)</t>
  </si>
  <si>
    <t>26-189</t>
  </si>
  <si>
    <t>D43xH230 (2 Refuerzos)</t>
  </si>
  <si>
    <t>D43xH230 (2 ref)</t>
  </si>
  <si>
    <t>26-209</t>
  </si>
  <si>
    <t>D57xH54,5 (XFOD060)</t>
  </si>
  <si>
    <t>D64xH120 (3 Refuerzos, 0.35)</t>
  </si>
  <si>
    <t>%</t>
  </si>
  <si>
    <t>TAPAS</t>
  </si>
  <si>
    <t>52x25B</t>
  </si>
  <si>
    <t>59xV</t>
  </si>
  <si>
    <t>59xVx1,6</t>
  </si>
  <si>
    <t>59xVx2,1</t>
  </si>
  <si>
    <t>59x27B</t>
  </si>
  <si>
    <t>15-5341</t>
  </si>
  <si>
    <t>59xEx24</t>
  </si>
  <si>
    <t>62xV</t>
  </si>
  <si>
    <t>69x25B</t>
  </si>
  <si>
    <t>15-1771</t>
  </si>
  <si>
    <t>69x32B</t>
  </si>
  <si>
    <t>70xRxC</t>
  </si>
  <si>
    <t>15-1691</t>
  </si>
  <si>
    <t>70xV</t>
  </si>
  <si>
    <t>03-1841</t>
  </si>
  <si>
    <t>70xVx1,6</t>
  </si>
  <si>
    <t>03-2141</t>
  </si>
  <si>
    <t>70xVx2,1</t>
  </si>
  <si>
    <t>03-1931</t>
  </si>
  <si>
    <t>70xEx19,6</t>
  </si>
  <si>
    <t>15-1491</t>
  </si>
  <si>
    <t>15-2651</t>
  </si>
  <si>
    <t>70xEx19,6 (con 0,8 fiat 600)</t>
  </si>
  <si>
    <t>70xEx24</t>
  </si>
  <si>
    <t>15-1631</t>
  </si>
  <si>
    <t>70xEx24 c/Valv Antivaciado</t>
  </si>
  <si>
    <t>79xRxC</t>
  </si>
  <si>
    <t>15-1611</t>
  </si>
  <si>
    <t>15-2691</t>
  </si>
  <si>
    <t>79xV</t>
  </si>
  <si>
    <t>79xV (1 kilo)</t>
  </si>
  <si>
    <t>03-1771</t>
  </si>
  <si>
    <t>79xVx1,6</t>
  </si>
  <si>
    <t>79xEx24</t>
  </si>
  <si>
    <t>15-1581</t>
  </si>
  <si>
    <t>82xRxC</t>
  </si>
  <si>
    <t>15-2261</t>
  </si>
  <si>
    <t>82xV</t>
  </si>
  <si>
    <t>82xVx1,6</t>
  </si>
  <si>
    <t>82xVx2,1</t>
  </si>
  <si>
    <t>82xEx24</t>
  </si>
  <si>
    <t>84xEx17</t>
  </si>
  <si>
    <t>15-2341</t>
  </si>
  <si>
    <t>86xRxC</t>
  </si>
  <si>
    <t>15-1571</t>
  </si>
  <si>
    <t>86xRxC Electro</t>
  </si>
  <si>
    <t>86xV</t>
  </si>
  <si>
    <t>03-1921</t>
  </si>
  <si>
    <t>86xVx1,6</t>
  </si>
  <si>
    <t>86xVx2,1</t>
  </si>
  <si>
    <t>03-1741</t>
  </si>
  <si>
    <t>86xEx24  Electro (con 4mm USR)</t>
  </si>
  <si>
    <t>86xEx24</t>
  </si>
  <si>
    <t>15-1531</t>
  </si>
  <si>
    <t>100xRxC</t>
  </si>
  <si>
    <t>15-1841</t>
  </si>
  <si>
    <t>15-0091</t>
  </si>
  <si>
    <t>100xV</t>
  </si>
  <si>
    <t>100xVx1,6</t>
  </si>
  <si>
    <t>100xVx2,1</t>
  </si>
  <si>
    <t>03-1961</t>
  </si>
  <si>
    <t>100xEx24</t>
  </si>
  <si>
    <t>15-1861</t>
  </si>
  <si>
    <t>100xEx33</t>
  </si>
  <si>
    <t>100x33B</t>
  </si>
  <si>
    <t>15-1871</t>
  </si>
  <si>
    <t>110xRxC (Rebaje D41 y e0.5)</t>
  </si>
  <si>
    <t>110x42B (e0.5)</t>
  </si>
  <si>
    <t>Conjunto Perkins-Bedford (UIA60P)</t>
  </si>
  <si>
    <t>Conjunto MB 1215 (UIA404)</t>
  </si>
  <si>
    <t>Conjunto MB 1215</t>
  </si>
  <si>
    <t>Conjunto MB 1517 (UIA405)</t>
  </si>
  <si>
    <t>Conjunto MB 1517</t>
  </si>
  <si>
    <t>15-3701</t>
  </si>
  <si>
    <t>26-044</t>
  </si>
  <si>
    <t>26-035</t>
  </si>
  <si>
    <t>Conjunto MB 1114 (UIA406)</t>
  </si>
  <si>
    <t>Conjunto MB 1114</t>
  </si>
  <si>
    <t>Conjunto MB 1526 (UIA407)</t>
  </si>
  <si>
    <t>Conjunto MB 1526</t>
  </si>
  <si>
    <t>Conjunto MB 1938 (UIA408)</t>
  </si>
  <si>
    <t>Conjunto MB 1938</t>
  </si>
  <si>
    <t>Conjunto MB 1315 (UIA411)</t>
  </si>
  <si>
    <t>Conjunto MB 1315</t>
  </si>
  <si>
    <t>Conjunto MB 180D (UIA412)</t>
  </si>
  <si>
    <t>Conjunto Ford V8 (UIA480)</t>
  </si>
  <si>
    <t>Conjunto MB 608 Viejo (UIA607)</t>
  </si>
  <si>
    <t>Conjunto MB 608 Nuevo (UIA608)</t>
  </si>
  <si>
    <t>Conjunto GM Astra (UIA718/719)</t>
  </si>
  <si>
    <t>Conjunto VW Polo Diesel (UIA726)</t>
  </si>
  <si>
    <t>Conjunto Renault Twingo (UIA813)</t>
  </si>
  <si>
    <t>Conjunto IKA (UIA V1C)</t>
  </si>
  <si>
    <t>Conjunto MB Hidráulico (UIH601)</t>
  </si>
  <si>
    <t>Peugeot 405 D (superior)</t>
  </si>
  <si>
    <t>Peugeot 405 D (inferior)</t>
  </si>
  <si>
    <t>Tapa Perkins 3/4”</t>
  </si>
  <si>
    <t>Tapa Perkins</t>
  </si>
  <si>
    <t>15-0081</t>
  </si>
  <si>
    <t>Tapa Perkins 1" (pulgada)</t>
  </si>
  <si>
    <t>Tapa Perkins 1" (pulgda)</t>
  </si>
  <si>
    <t>15-0061</t>
  </si>
  <si>
    <t>Arañitas 4 patas (guìa de junta)</t>
  </si>
  <si>
    <t>Arañita 4 patas (Guìa de junta)</t>
  </si>
  <si>
    <t>03-0307</t>
  </si>
  <si>
    <t>Sosten Elástico</t>
  </si>
  <si>
    <t>50-0031</t>
  </si>
  <si>
    <t>Válvula antidrenaje (US 561)</t>
  </si>
  <si>
    <t>03-0011</t>
  </si>
  <si>
    <t>BOSH 1/2 L 17x63</t>
  </si>
  <si>
    <t>15-0331</t>
  </si>
  <si>
    <t>Conjunto ½ litro (UIG112)</t>
  </si>
  <si>
    <t>Caño D31xH102</t>
  </si>
  <si>
    <t>26-051</t>
  </si>
  <si>
    <t xml:space="preserve">Cobertor </t>
  </si>
  <si>
    <t>26-032</t>
  </si>
  <si>
    <t>Conjunto Peugeot 405D (UIG290)</t>
  </si>
  <si>
    <t>TAPA BOSCH 1L 19x79</t>
  </si>
  <si>
    <t>15-2291</t>
  </si>
  <si>
    <t>Conjunto 1 litro (UIG312)</t>
  </si>
  <si>
    <t>Caño D43xH130,5</t>
  </si>
  <si>
    <t>26-006</t>
  </si>
  <si>
    <t>26-036</t>
  </si>
  <si>
    <t>Conjunto Renault Express (UIG443)</t>
  </si>
  <si>
    <t>Tapasx2 D71x27B+Caño D36H43</t>
  </si>
  <si>
    <t>Conjunto Renault Master (UIG460)</t>
  </si>
  <si>
    <t>Tapasx2 D71x27B+Caño D36H83</t>
  </si>
  <si>
    <t>CONJ.TAPA VALVULA D.62 X 1 KG.</t>
  </si>
  <si>
    <t>03-2071</t>
  </si>
  <si>
    <t>Conjunto Peugeot 405D (UIG480)</t>
  </si>
  <si>
    <t>CONJ.TAPA VALVULA D.62 X 1,7 KG.</t>
  </si>
  <si>
    <t>03-2081</t>
  </si>
  <si>
    <t>Conjunto GM Astra (UIG732)</t>
  </si>
  <si>
    <t>TAPA INT 26 EXT 71 REN. CLIO</t>
  </si>
  <si>
    <t>,</t>
  </si>
  <si>
    <t>Caño D36xH44</t>
  </si>
  <si>
    <t>26-022</t>
  </si>
  <si>
    <t>Caño D31xH85</t>
  </si>
  <si>
    <t>Pesados</t>
  </si>
  <si>
    <t>AR0178</t>
  </si>
  <si>
    <t>TAPA</t>
  </si>
  <si>
    <t>TAPA ARO D125x64</t>
  </si>
  <si>
    <t>15-0531</t>
  </si>
  <si>
    <t>FONDO</t>
  </si>
  <si>
    <t>CONJ. TAPA CONICA D125</t>
  </si>
  <si>
    <t>03-0941</t>
  </si>
  <si>
    <t>CUB. EXT.</t>
  </si>
  <si>
    <t>CUERPO EXT. D120xH278</t>
  </si>
  <si>
    <t>10-7281</t>
  </si>
  <si>
    <t>CUB. INT.</t>
  </si>
  <si>
    <t>CUERPO INT. D70xH278</t>
  </si>
  <si>
    <t>10-7271</t>
  </si>
  <si>
    <t>TOTAL</t>
  </si>
  <si>
    <t>AR1080</t>
  </si>
  <si>
    <r>
      <t>TAPA ARO D</t>
    </r>
    <r>
      <rPr>
        <sz val="10"/>
        <color indexed="8"/>
        <rFont val="Arial"/>
        <family val="2"/>
      </rPr>
      <t>149,5x70,5</t>
    </r>
  </si>
  <si>
    <t>15-0661</t>
  </si>
  <si>
    <r>
      <t>CONJ. TAPA CONICA D</t>
    </r>
    <r>
      <rPr>
        <sz val="10"/>
        <color indexed="8"/>
        <rFont val="Arial"/>
        <family val="2"/>
      </rPr>
      <t>149,5</t>
    </r>
  </si>
  <si>
    <t>03-1021</t>
  </si>
  <si>
    <t>CUERPO EXT. D147,5xH321</t>
  </si>
  <si>
    <t>10-7021</t>
  </si>
  <si>
    <t>CUERPO INT. D78xH321</t>
  </si>
  <si>
    <t>10-7011</t>
  </si>
  <si>
    <t>AR1130</t>
  </si>
  <si>
    <t>TAPA ARO D167x86</t>
  </si>
  <si>
    <t>15-0551</t>
  </si>
  <si>
    <r>
      <t>CONJ. TAPA CONICA D</t>
    </r>
    <r>
      <rPr>
        <sz val="10"/>
        <color indexed="8"/>
        <rFont val="Arial"/>
        <family val="2"/>
      </rPr>
      <t>167</t>
    </r>
  </si>
  <si>
    <t>03-0961</t>
  </si>
  <si>
    <t>CUERPO EXT. D165xH337</t>
  </si>
  <si>
    <t>10-7261</t>
  </si>
  <si>
    <t>CUERPO INT. D90xH337</t>
  </si>
  <si>
    <t>10-7251</t>
  </si>
  <si>
    <t>AR1129</t>
  </si>
  <si>
    <r>
      <t>TAPA ARO D</t>
    </r>
    <r>
      <rPr>
        <sz val="10"/>
        <color indexed="8"/>
        <rFont val="Arial"/>
        <family val="2"/>
      </rPr>
      <t>198x103</t>
    </r>
  </si>
  <si>
    <t>15-4051</t>
  </si>
  <si>
    <r>
      <t>CONJ. TAPA CONICA D</t>
    </r>
    <r>
      <rPr>
        <sz val="10"/>
        <color indexed="8"/>
        <rFont val="Arial"/>
        <family val="2"/>
      </rPr>
      <t>197</t>
    </r>
  </si>
  <si>
    <t>03-0601</t>
  </si>
  <si>
    <t>CUERPO EXT. D192xH361,5</t>
  </si>
  <si>
    <t>10-7081</t>
  </si>
  <si>
    <t>CUERPO INT. D111xH361,5</t>
  </si>
  <si>
    <t>10-7071</t>
  </si>
  <si>
    <t>AR1147</t>
  </si>
  <si>
    <t>CUERPO EXT. D123xH209</t>
  </si>
  <si>
    <t>10-7001</t>
  </si>
  <si>
    <t>AR1003</t>
  </si>
  <si>
    <t>TAPA FILTRO SEG. M.BENZ 1517</t>
  </si>
  <si>
    <t>15-0591</t>
  </si>
  <si>
    <t>CONJ.TAPA FILTRO SEG.M.BENZ 1517</t>
  </si>
  <si>
    <t>03-0991</t>
  </si>
  <si>
    <t>CUERPO</t>
  </si>
  <si>
    <t>TAPA FILTRO SEG. FORD 7000</t>
  </si>
  <si>
    <t>15-0611</t>
  </si>
  <si>
    <t>CONJ.TAPA FILTRO SEG.FORD 7000</t>
  </si>
  <si>
    <t>03-1001</t>
  </si>
  <si>
    <t xml:space="preserve">TAPA FILTRO SEG. M.BENZ 608  </t>
  </si>
  <si>
    <t>15-0631</t>
  </si>
  <si>
    <t>CONJ.TAPA FILTRO SEG.M.BENZ 608</t>
  </si>
  <si>
    <t>03-1011</t>
  </si>
  <si>
    <t>Ancalphia</t>
  </si>
  <si>
    <t>San Carlos</t>
  </si>
  <si>
    <t>Observ</t>
  </si>
  <si>
    <t>código</t>
  </si>
  <si>
    <t>Precio viejo</t>
  </si>
  <si>
    <t>Precios</t>
  </si>
  <si>
    <t>Incremento</t>
  </si>
  <si>
    <t>codigo</t>
  </si>
  <si>
    <t>Anillo M16</t>
  </si>
  <si>
    <t>Anillo Negro</t>
  </si>
  <si>
    <t>Cj. Bosh ½</t>
  </si>
  <si>
    <t>C5070</t>
  </si>
  <si>
    <t>5x18,5x1,5</t>
  </si>
  <si>
    <t>Anillo M20</t>
  </si>
  <si>
    <t>Anillo Rojo</t>
  </si>
  <si>
    <t>Cj. Bosh 1L</t>
  </si>
  <si>
    <t>C5080</t>
  </si>
  <si>
    <t>5x21,5x1,5</t>
  </si>
  <si>
    <t>Anillo M</t>
  </si>
  <si>
    <t>Anillo Verde</t>
  </si>
  <si>
    <t>Cj. T Perkins ¾</t>
  </si>
  <si>
    <t>C5090</t>
  </si>
  <si>
    <t>4x29,5x2</t>
  </si>
  <si>
    <t>Anillo 45,5x31,7x5</t>
  </si>
  <si>
    <t>Diafragma UIA718</t>
  </si>
  <si>
    <t>Diafragma UIA718 Y 719</t>
  </si>
  <si>
    <t>50x33x1,5</t>
  </si>
  <si>
    <t>Diafragma UIA726</t>
  </si>
  <si>
    <t>19,521,5x0,5</t>
  </si>
  <si>
    <t>Cj. T Perkins 1</t>
  </si>
  <si>
    <t>C5100</t>
  </si>
  <si>
    <t>Cj. Chevrolet</t>
  </si>
  <si>
    <t>C5160</t>
  </si>
  <si>
    <r>
      <t xml:space="preserve">Junta </t>
    </r>
    <r>
      <rPr>
        <sz val="10"/>
        <color indexed="8"/>
        <rFont val="Arial;Arial"/>
        <family val="0"/>
      </rPr>
      <t>71,2x62,7x6,5</t>
    </r>
  </si>
  <si>
    <t>Diafragma ¾</t>
  </si>
  <si>
    <t>26x19,6x0,7</t>
  </si>
  <si>
    <t>Cj. MB1112</t>
  </si>
  <si>
    <t>C5170</t>
  </si>
  <si>
    <t>Diafragma M20</t>
  </si>
  <si>
    <t>Cj. MB1215 sin arandelas</t>
  </si>
  <si>
    <t>C5500</t>
  </si>
  <si>
    <t>Diafragma p/M16</t>
  </si>
  <si>
    <t>1095</t>
  </si>
  <si>
    <t>Diafragma 1”</t>
  </si>
  <si>
    <t>23,5x28x0,7</t>
  </si>
  <si>
    <t>Anillo US209</t>
  </si>
  <si>
    <t>Reten Externo</t>
  </si>
  <si>
    <t>Junta Ford D92 int.</t>
  </si>
  <si>
    <t>J1470</t>
  </si>
  <si>
    <t>Equiv 1348</t>
  </si>
  <si>
    <t>Junta Chev D92 ext.</t>
  </si>
  <si>
    <t>J0100</t>
  </si>
  <si>
    <t>Equiv 1446</t>
  </si>
  <si>
    <t>Junta p/MB1517 (Junta p/UIA405)</t>
  </si>
  <si>
    <t>Conj. Juntas p/ 405 D</t>
  </si>
  <si>
    <t>Flapper FK472</t>
  </si>
  <si>
    <t>J0500</t>
  </si>
  <si>
    <t>Equiv 1017</t>
  </si>
  <si>
    <t>Junta p/MB1517 (Junta p/AR1650)</t>
  </si>
  <si>
    <t>1210</t>
  </si>
  <si>
    <t>JE016</t>
  </si>
  <si>
    <t>Junta p/FORD 7000 (Junta p/AR1645)</t>
  </si>
  <si>
    <t>1211</t>
  </si>
  <si>
    <t>JE053</t>
  </si>
  <si>
    <t>Anillo p/M24</t>
  </si>
  <si>
    <t>Junta D66</t>
  </si>
  <si>
    <t>J1160</t>
  </si>
  <si>
    <t>5x26x2</t>
  </si>
  <si>
    <t>Junta Afuera p/Deutz (US209)</t>
  </si>
  <si>
    <t>1269</t>
  </si>
  <si>
    <t>103x92,2x7</t>
  </si>
  <si>
    <t>Junta p/DEUTZ CHICO (Junta p/FT300)</t>
  </si>
  <si>
    <t>1307</t>
  </si>
  <si>
    <t>JE 071</t>
  </si>
  <si>
    <t>Junta verde</t>
  </si>
  <si>
    <t>Junta Verde US144 75 – J. Afuera</t>
  </si>
  <si>
    <t>J1700</t>
  </si>
  <si>
    <t>Equiv 1320</t>
  </si>
  <si>
    <t>e5,5xDi61,5xH6,2</t>
  </si>
  <si>
    <t>Flapper FM347</t>
  </si>
  <si>
    <t>1336</t>
  </si>
  <si>
    <t>J1770</t>
  </si>
  <si>
    <t>Equiv 1020</t>
  </si>
  <si>
    <t>5x62,3x6,5</t>
  </si>
  <si>
    <t>Junta Blanca US023 92 – J. Ford</t>
  </si>
  <si>
    <t>Junta JX0810.02</t>
  </si>
  <si>
    <t>J3230</t>
  </si>
  <si>
    <t>O'Ring IVECO</t>
  </si>
  <si>
    <t>O'Ring US210</t>
  </si>
  <si>
    <t>Junt Dowel</t>
  </si>
  <si>
    <t>JE 044</t>
  </si>
  <si>
    <t>FT300.11A.01005</t>
  </si>
  <si>
    <t>Kombi VW</t>
  </si>
  <si>
    <t>IVECO ¾</t>
  </si>
  <si>
    <t>Flapper US210</t>
  </si>
  <si>
    <t>corsa</t>
  </si>
  <si>
    <t>FF 123</t>
  </si>
  <si>
    <t>Flapper cuello Largo</t>
  </si>
  <si>
    <t>FF 125</t>
  </si>
  <si>
    <t>Flapper cuello Corto</t>
  </si>
  <si>
    <t>42,25x35,5x4,5</t>
  </si>
  <si>
    <t>a cotizar</t>
  </si>
  <si>
    <t>Diafrag. Hidraulico</t>
  </si>
  <si>
    <t>J1940</t>
  </si>
  <si>
    <t>Reten 103x92,2x7,5</t>
  </si>
  <si>
    <t>1434</t>
  </si>
  <si>
    <t>5x85,25x6</t>
  </si>
  <si>
    <t>Junta Negra US011 92 – J. Afuera</t>
  </si>
  <si>
    <t>Reten US323</t>
  </si>
  <si>
    <t>1454</t>
  </si>
  <si>
    <t>Diafragma S10</t>
  </si>
  <si>
    <t>1455</t>
  </si>
  <si>
    <t>Diafragma p/1,5” S10 US323</t>
  </si>
  <si>
    <t>97x42,5x0,7</t>
  </si>
  <si>
    <t>S10</t>
  </si>
  <si>
    <t>Conj. P/Cartucho IKA-Renault Aceite</t>
  </si>
  <si>
    <t>3004</t>
  </si>
  <si>
    <t>Bosh ½ Litro</t>
  </si>
  <si>
    <t>3008</t>
  </si>
  <si>
    <t>3 Elementos (1 juntas, 2 entre chapas)</t>
  </si>
  <si>
    <t>Bosh 1 Litro</t>
  </si>
  <si>
    <t>3009</t>
  </si>
  <si>
    <t>Cj. T. Perkins 3/4”</t>
  </si>
  <si>
    <t>3 Elementos (2 juntas y 1 o'ring)</t>
  </si>
  <si>
    <t>Cj. T. Perkins 1”</t>
  </si>
  <si>
    <t>Cj. Cartucho Perkins Aceite (60P)</t>
  </si>
  <si>
    <t>3012</t>
  </si>
  <si>
    <t>Cj. Cartucho Ford V8 Aceite (480)</t>
  </si>
  <si>
    <t>Cj. Cartucho MB1112 Aceite (406)</t>
  </si>
  <si>
    <t>Cj. Cartucho MB1517 Aceite (405)</t>
  </si>
  <si>
    <t>Cj. Cartucho MB1215/1315 Aceite (411 y 404)</t>
  </si>
  <si>
    <t>Cj. Cartucho MB180 Aceite (412)</t>
  </si>
  <si>
    <t>Cj. Clio comb UIG443 y 460</t>
  </si>
  <si>
    <t>4 Elementos (1 juntas, 2 entre chapas y 1 sello)</t>
  </si>
  <si>
    <t>Cj. Cartucho MB1938 Aceite (408)</t>
  </si>
  <si>
    <t>O'ring 013 (UIA726) 9,9x14,9x1,7</t>
  </si>
  <si>
    <t>BAFIR 013</t>
  </si>
  <si>
    <t>10,8x14,4</t>
  </si>
  <si>
    <t>Ar-Po 2-013</t>
  </si>
  <si>
    <t>O1690 (10x2)</t>
  </si>
  <si>
    <t>O'ring 232 (UIA726) 70x76x3</t>
  </si>
  <si>
    <t>BAFIR 039</t>
  </si>
  <si>
    <t>69,6x73,1</t>
  </si>
  <si>
    <t>Ar-Po 2-232</t>
  </si>
  <si>
    <t>O1710 (67x3,5)</t>
  </si>
  <si>
    <t>O'ring 234 (UIA718 y 719) 76x83x3,5</t>
  </si>
  <si>
    <t>BAFIR 151</t>
  </si>
  <si>
    <t>75,9x81,1</t>
  </si>
  <si>
    <t>Ar-Po 2-234</t>
  </si>
  <si>
    <t>O1680 (74x3,5)</t>
  </si>
  <si>
    <t>O'ring 109 (UIA719)</t>
  </si>
  <si>
    <t>BAFIR 109</t>
  </si>
  <si>
    <t>7,6x12,8</t>
  </si>
  <si>
    <t>Ar-Po 2-109</t>
  </si>
  <si>
    <t>O1720 (7x2,5)</t>
  </si>
  <si>
    <t>O'ring 110 (UIA718)</t>
  </si>
  <si>
    <t>BAFIR 110</t>
  </si>
  <si>
    <t>9,2x14,4</t>
  </si>
  <si>
    <t>Ar-Po 2-110</t>
  </si>
  <si>
    <t>O1670 (9,9x2,5)</t>
  </si>
  <si>
    <t>Cajas</t>
  </si>
  <si>
    <t>PixelGraf</t>
  </si>
  <si>
    <t>Imprenta Gonzalez</t>
  </si>
  <si>
    <t>Medidas</t>
  </si>
  <si>
    <t>Precio</t>
  </si>
  <si>
    <t xml:space="preserve">Precio x 0,93 </t>
  </si>
  <si>
    <t>Precio final</t>
  </si>
  <si>
    <t>Planchas</t>
  </si>
  <si>
    <t>Precio Viejo</t>
  </si>
  <si>
    <t>Aumento %</t>
  </si>
  <si>
    <t>84x84x103</t>
  </si>
  <si>
    <t>2 centavos</t>
  </si>
  <si>
    <t>84x84x128</t>
  </si>
  <si>
    <t>80x80x125</t>
  </si>
  <si>
    <t>84x84x165</t>
  </si>
  <si>
    <t>78x78x76</t>
  </si>
  <si>
    <t>98x98x75</t>
  </si>
  <si>
    <t>98x98x80</t>
  </si>
  <si>
    <t>98x98x100</t>
  </si>
  <si>
    <t>98x98x110</t>
  </si>
  <si>
    <t>98x98x145</t>
  </si>
  <si>
    <t>98x98x152</t>
  </si>
  <si>
    <t>96x96x216</t>
  </si>
  <si>
    <t>3 centavos</t>
  </si>
  <si>
    <t>98x98x205</t>
  </si>
  <si>
    <t>110x110x185</t>
  </si>
  <si>
    <t>110x110x110</t>
  </si>
  <si>
    <t>110x110x250</t>
  </si>
  <si>
    <t>136x136x103</t>
  </si>
  <si>
    <t>135x135x110</t>
  </si>
  <si>
    <t>128x128x213</t>
  </si>
  <si>
    <t>128x128x293</t>
  </si>
  <si>
    <t>160x160x310</t>
  </si>
  <si>
    <t>98x98x160</t>
  </si>
  <si>
    <t>112x112x270</t>
  </si>
  <si>
    <t>245x105x245</t>
  </si>
  <si>
    <t>Etiqutas</t>
  </si>
  <si>
    <t>Características</t>
  </si>
  <si>
    <t>70x31</t>
  </si>
  <si>
    <t>27 etiquetas x hoja</t>
  </si>
  <si>
    <t>70x51</t>
  </si>
  <si>
    <t>15 etiquetas x hoja</t>
  </si>
  <si>
    <t>105x74</t>
  </si>
  <si>
    <t>8 etiquetas x hoja</t>
  </si>
  <si>
    <t xml:space="preserve">Cinta de embalaje </t>
  </si>
  <si>
    <t>Estuche 71</t>
  </si>
  <si>
    <t>Estuche 72</t>
  </si>
  <si>
    <t>Estuche 73</t>
  </si>
  <si>
    <t>Estuche 105</t>
  </si>
  <si>
    <t>Estuche 115</t>
  </si>
  <si>
    <t>Estuche 117</t>
  </si>
  <si>
    <t>Estuche 125</t>
  </si>
  <si>
    <t>Estuche 126</t>
  </si>
  <si>
    <t>Estuche 127</t>
  </si>
  <si>
    <t>Estuche 128</t>
  </si>
  <si>
    <t>110*110*110 US855</t>
  </si>
  <si>
    <t>Estuche 129</t>
  </si>
  <si>
    <t>Estuche 140</t>
  </si>
  <si>
    <t>Alargar esta caja, quedo corta</t>
  </si>
  <si>
    <t>Estuche 149</t>
  </si>
  <si>
    <t>112xH270</t>
  </si>
  <si>
    <t>Estuche 133</t>
  </si>
  <si>
    <t>132*132*110 US323</t>
  </si>
  <si>
    <t>Estuche 135</t>
  </si>
  <si>
    <t>128xH213</t>
  </si>
  <si>
    <t>Precio y medida aprox.</t>
  </si>
  <si>
    <t>Estuche 138</t>
  </si>
  <si>
    <t>128xH293</t>
  </si>
  <si>
    <t>Termocontraible</t>
  </si>
  <si>
    <t>$/Kg</t>
  </si>
  <si>
    <t>Metros</t>
  </si>
  <si>
    <t>$/m</t>
  </si>
  <si>
    <t>g/m</t>
  </si>
  <si>
    <t>Kilos 2 Bobinas + 2 Centro de Bobina de 1Kg c/u = 45Kg</t>
  </si>
  <si>
    <t>Perdidas promedio:</t>
  </si>
  <si>
    <t>Aumento hasta prox. Compra:</t>
  </si>
  <si>
    <t>Mas transporte:</t>
  </si>
  <si>
    <t>$/Kg Final:</t>
  </si>
  <si>
    <t>$/m redond:</t>
  </si>
  <si>
    <t>CARCAZAS</t>
  </si>
  <si>
    <t>PRIMERA OPCIÓN DE COMPRA</t>
  </si>
  <si>
    <t>SEGUNDA OPCIÓN DE COMPRA</t>
  </si>
  <si>
    <t xml:space="preserve">       </t>
  </si>
  <si>
    <t>PRECIO</t>
  </si>
  <si>
    <r>
      <t xml:space="preserve">                                                </t>
    </r>
    <r>
      <rPr>
        <sz val="10"/>
        <color indexed="14"/>
        <rFont val="Arial"/>
        <family val="2"/>
      </rPr>
      <t xml:space="preserve"> PRECIO</t>
    </r>
  </si>
  <si>
    <t>D67xH63</t>
  </si>
  <si>
    <t>F.I.110 65,0x62 (Argenfar)</t>
  </si>
  <si>
    <t>L 66 63 CE (Filpar)                                2.051,632</t>
  </si>
  <si>
    <t>F.I.112 65x67 (Argenfar)</t>
  </si>
  <si>
    <t>L 66 73 CE (Filpar)                                 2.122,252</t>
  </si>
  <si>
    <t>D67xH84</t>
  </si>
  <si>
    <t>F.I.111 65,0x84,5 (Argenfar)</t>
  </si>
  <si>
    <t>C 66 88 F (Filpar)                                   2.494,470</t>
  </si>
  <si>
    <t>F.I.105 75,0x49,7F (Argenfar)</t>
  </si>
  <si>
    <t>L 75 52 C (Filpar)                                  2.418,691</t>
  </si>
  <si>
    <t xml:space="preserve">L 75 52 C (Filpar) </t>
  </si>
  <si>
    <t>F.I.081 75,0x55                              1,702</t>
  </si>
  <si>
    <t>F.I.106 75,0x62F (Argenfar)</t>
  </si>
  <si>
    <t>L 75 60 C (Filpar)                                  2.470,094</t>
  </si>
  <si>
    <t xml:space="preserve">P 75 60 CTH (Filpar) </t>
  </si>
  <si>
    <t>F.I.095 75x60 c/T (Argenfar)            2,961</t>
  </si>
  <si>
    <t>F.I.082 75,0x75 (Argenfar)</t>
  </si>
  <si>
    <t>L 75 75 C (Filpar)                                 2.470,0,94</t>
  </si>
  <si>
    <t xml:space="preserve">P 75 77 CTH (Filpar) </t>
  </si>
  <si>
    <t>F.I.084 75,0x84 (Argenfar)</t>
  </si>
  <si>
    <t>C 75 84 F (Filpar)                                 3.006,575</t>
  </si>
  <si>
    <t>L 75 84 C (Filpar)                                 2.679,908</t>
  </si>
  <si>
    <t>C 76 84 C (Filpar)                                 3.042,776</t>
  </si>
  <si>
    <t>F.I.085 75,0x84 c/T (Argenfar)</t>
  </si>
  <si>
    <t>P 75 88 CTH (Filpar)                           4.887,729</t>
  </si>
  <si>
    <t xml:space="preserve">P 75 84 CT8 (Filpar) </t>
  </si>
  <si>
    <t>F.I.086 75,0x94 (Argenfar)</t>
  </si>
  <si>
    <t>L 75 92 C (Filpar)                                2.826,109</t>
  </si>
  <si>
    <t>F.I.088 75,0x120 (Argenfar)</t>
  </si>
  <si>
    <t>C 75 117 C (Filpar)                             2.543,695</t>
  </si>
  <si>
    <t>D75xH117 C/P</t>
  </si>
  <si>
    <t>F.I.100 75,0x120 c/PP (Arhenfar)</t>
  </si>
  <si>
    <t>P 75 117 PTP8 (Filpar)                         6.602,540</t>
  </si>
  <si>
    <t>F.I.138 75x131 c/PM8 (Argenfar)</t>
  </si>
  <si>
    <t>P 75 135 CT8 (Filpar)                            8.698,118</t>
  </si>
  <si>
    <t>F.I.001 82,4x72,2 (Aregenfar)</t>
  </si>
  <si>
    <t>L 84 72 R (Filpar)                                 2.541,209</t>
  </si>
  <si>
    <t>F.I.002 82,4x100 (Argenfar)</t>
  </si>
  <si>
    <t>C 84 100 R (Filpar)                              5.023,997</t>
  </si>
  <si>
    <t>F.I.006 82,4x111,5 (Argenfar)</t>
  </si>
  <si>
    <t>C 84 113 R (Filpar)                              5.023,997</t>
  </si>
  <si>
    <t>F.I.007 92,3x60 (Argenfar)</t>
  </si>
  <si>
    <t>L 92 60 C (Filpar)                                  2.243,742</t>
  </si>
  <si>
    <t>F.I.008 92,3x69 (Argenfar)</t>
  </si>
  <si>
    <t>L 92 69 C (Filpar)                                  2.350,634</t>
  </si>
  <si>
    <t xml:space="preserve">L 92 84 C (Filpar) </t>
  </si>
  <si>
    <t>F.I.012 92,3x84 (Argenfar)               2,912</t>
  </si>
  <si>
    <t xml:space="preserve">L 92 84 F (Filpar) </t>
  </si>
  <si>
    <t>F.I.017 92,3x94 (Argerfar)</t>
  </si>
  <si>
    <t>L 92 94 C (Filpar)                                 3.151,049</t>
  </si>
  <si>
    <t>L 92 94 F (Filpar)                                 3.141,952</t>
  </si>
  <si>
    <t>F.I.019 92,3x102  (Argenfar)</t>
  </si>
  <si>
    <t>L 92 108 F (Filpar)                              3.684,865</t>
  </si>
  <si>
    <t>P 92 108 CE (Filpar)                            4.117,443</t>
  </si>
  <si>
    <t>F.I.020 92,3x120 (Argenfar)</t>
  </si>
  <si>
    <t>C 92 120 C (Filpar)                               3.584,402</t>
  </si>
  <si>
    <t>US 208</t>
  </si>
  <si>
    <t>C 92 120 F (Filpar)                               3.568,015</t>
  </si>
  <si>
    <t>F.I.027 92,3x132  (Argenfar)</t>
  </si>
  <si>
    <t>L 92 132 C (Filpar)                               4.186,479</t>
  </si>
  <si>
    <t>P 92 132 C (Filpar)                             4.873,715</t>
  </si>
  <si>
    <t>F.I.026 92,3x132 c/T (Argenfar)</t>
  </si>
  <si>
    <t>P 92 137 CTHS (Filpar)                      7.213,810</t>
  </si>
  <si>
    <t xml:space="preserve">C 92 132 CT8 (Filpar) </t>
  </si>
  <si>
    <t>F.I.040 92,3x135 c/PM8 (Argenfar)    11,112</t>
  </si>
  <si>
    <t>F.I.050 92,3x173 EZ (Argenfar)</t>
  </si>
  <si>
    <t>CZ 92 173 CEC (Filpar)                        10.735,362</t>
  </si>
  <si>
    <t>C 92 173 C (Filpar)                              8.047,721</t>
  </si>
  <si>
    <t>F.I.043 92,3x180 (Argenfar)</t>
  </si>
  <si>
    <t>C 92 180 C / C92 180 F (Filpar)              8.248,900</t>
  </si>
  <si>
    <t>F.I.052 92,3x200 (Argenfar)</t>
  </si>
  <si>
    <t>C 92 200 C (Filpar)                                 8.505,398</t>
  </si>
  <si>
    <t>C 92 200 F (Filpar)                                 8.534,515</t>
  </si>
  <si>
    <t>F.I.060 107,3x96 (Argenfar)</t>
  </si>
  <si>
    <t>C 107 96 F (Filpar)                               3.568,015</t>
  </si>
  <si>
    <t>F.I.062 107,3x140 (Argenfar)</t>
  </si>
  <si>
    <t>C 107 143 CE  (Filpar)                       8.064,914</t>
  </si>
  <si>
    <t>P 107 143 CE  (Filpar)                       8.400,986</t>
  </si>
  <si>
    <t>F.I.063 107,3x180 (Argenfar)</t>
  </si>
  <si>
    <t>C 107 180 CE  (Filpar)                     8.408,576</t>
  </si>
  <si>
    <t>P 107 180 CE  (Filpar)                      9.191,875</t>
  </si>
  <si>
    <t>F.I.068 107,3x230 (Argenfar)</t>
  </si>
  <si>
    <t>P 107 230 CEAP  (Filpar)                  9.124,410</t>
  </si>
  <si>
    <t xml:space="preserve">S 134 79 CTHS  (Filpar)  </t>
  </si>
  <si>
    <t xml:space="preserve">C 92 139 C (Filpar)  </t>
  </si>
  <si>
    <t>FI036  92,3x139 (Argenfar)             4,965</t>
  </si>
  <si>
    <t xml:space="preserve">L 92 137 F (Filpar)  </t>
  </si>
  <si>
    <t>FI032  92,3x135 8 (Argenfar)          4,201</t>
  </si>
  <si>
    <t>D75xH108</t>
  </si>
  <si>
    <t>FI087    75x108</t>
  </si>
  <si>
    <t>C 75 117 C  (Filpar)                2.982,562</t>
  </si>
  <si>
    <t>F I 091  75x102</t>
  </si>
  <si>
    <t>C 75 117 F  (Filpar)                3.106,829</t>
  </si>
  <si>
    <t>C 75 101 C  (Filpar)                2.959,022</t>
  </si>
  <si>
    <t>D107xH166</t>
  </si>
  <si>
    <t>BRIDAS</t>
  </si>
  <si>
    <t xml:space="preserve">                              PRECIO</t>
  </si>
  <si>
    <t xml:space="preserve">                                  PRECIO</t>
  </si>
  <si>
    <t>Conj. D66 3/4x16</t>
  </si>
  <si>
    <t xml:space="preserve"> 04-062                      2,024</t>
  </si>
  <si>
    <t>66x3/4x16                     2,085</t>
  </si>
  <si>
    <t>Conj. D66 m20x1.5</t>
  </si>
  <si>
    <t>04-0060                      2,024</t>
  </si>
  <si>
    <t>66x20x1,5                     2,085</t>
  </si>
  <si>
    <t>Conj D67x3/4x16</t>
  </si>
  <si>
    <t>04-062                       2,024</t>
  </si>
  <si>
    <t>Conj. D67 m20x1.5 Embutida</t>
  </si>
  <si>
    <t>04-061 (neg)               2,024</t>
  </si>
  <si>
    <t>66 x 20 x1,5 negativa     2,085</t>
  </si>
  <si>
    <t>Conj. D75 x13/16</t>
  </si>
  <si>
    <t>04-005                        2,101</t>
  </si>
  <si>
    <t>75x13/16x16                 2,616</t>
  </si>
  <si>
    <t>Conj. D75  3/4X16</t>
  </si>
  <si>
    <t>75X3/4x16                  2,096</t>
  </si>
  <si>
    <t>04-002                          2,101</t>
  </si>
  <si>
    <t>Conj. D75 m20x1,5</t>
  </si>
  <si>
    <t>75x20x1,5                  2,096</t>
  </si>
  <si>
    <t>04-000                          2,101</t>
  </si>
  <si>
    <t>Conj. D75 m18x1,5</t>
  </si>
  <si>
    <t>04-004                       2,101</t>
  </si>
  <si>
    <t>75x18x1,5                     2,616</t>
  </si>
  <si>
    <t>Conj. D75 m16x1,5</t>
  </si>
  <si>
    <t>04-006                      2,035</t>
  </si>
  <si>
    <t>75x16x1,5                     2,096</t>
  </si>
  <si>
    <t>Conj. D92 x13/16</t>
  </si>
  <si>
    <t>04-022                       3,597</t>
  </si>
  <si>
    <t>92x13/16x16                  3,180</t>
  </si>
  <si>
    <t>Conj. D92 x13/16 J. DEERE</t>
  </si>
  <si>
    <t>92x13/16x16               3,180</t>
  </si>
  <si>
    <t>Conj. D92 x13/16x18</t>
  </si>
  <si>
    <t>04-047                       2,849</t>
  </si>
  <si>
    <t>92x13/16x18                  3,180</t>
  </si>
  <si>
    <t>Conj. D92 x3/4x16 6 Ag.</t>
  </si>
  <si>
    <t>04-020                       2,849</t>
  </si>
  <si>
    <t>92x3/4x16 6 Ag              2,784</t>
  </si>
  <si>
    <t>Conj. D92x5/8x18 (2 aug.)</t>
  </si>
  <si>
    <t>O4-048                       2,849</t>
  </si>
  <si>
    <t>92x5/8x18 (2 aug)           2,977</t>
  </si>
  <si>
    <t>Conj. D92 1"x16 esp 3,2</t>
  </si>
  <si>
    <t xml:space="preserve">  04-042                      4,004                                    </t>
  </si>
  <si>
    <t>92 1"x16 esp 3,2            3,775</t>
  </si>
  <si>
    <t>Conj. D92 1"x14 esp 3,2</t>
  </si>
  <si>
    <t>04-025                       4,004</t>
  </si>
  <si>
    <t>92 1"x14 esp 3,2           3,765</t>
  </si>
  <si>
    <t>Conj D92 1"x12 esp 3,2</t>
  </si>
  <si>
    <t>04-040                       4,004</t>
  </si>
  <si>
    <t>92 1"x12 esp 3,2            3,765</t>
  </si>
  <si>
    <t>Conj. D92 m24x2</t>
  </si>
  <si>
    <t>04-063                       4,488</t>
  </si>
  <si>
    <t>Conj. D92 m22x1,5</t>
  </si>
  <si>
    <t>04-018                       4,004</t>
  </si>
  <si>
    <t xml:space="preserve">92x24x1,5                     3,180        </t>
  </si>
  <si>
    <t>Conj. D92 m20x1,5</t>
  </si>
  <si>
    <t>04-017                       2,849</t>
  </si>
  <si>
    <t>Conj. D92 m20x1.5 junta afuera</t>
  </si>
  <si>
    <t>04-054                       2,849</t>
  </si>
  <si>
    <t>92 20x1,5 junt afuera      2,784</t>
  </si>
  <si>
    <t>Conj. D92 m18x1,5</t>
  </si>
  <si>
    <t>04-056                       2,849</t>
  </si>
  <si>
    <t>92 18x1,5                       3,180</t>
  </si>
  <si>
    <t>Conj. D92 m16x1,5</t>
  </si>
  <si>
    <t>04-036                       2,849</t>
  </si>
  <si>
    <t>Conj. D107 x3/4 esp 3,2</t>
  </si>
  <si>
    <t>04-028                       5,533</t>
  </si>
  <si>
    <t>92 16x1,5                        3,180</t>
  </si>
  <si>
    <t>Conj. D107 x3/4 esp 2,5</t>
  </si>
  <si>
    <t>04-026                       3,597</t>
  </si>
  <si>
    <t>107 3/4 esp 2,5                4,130</t>
  </si>
  <si>
    <t>Conj. D107 1x12 esp 3,2</t>
  </si>
  <si>
    <t>04-027                       5,533</t>
  </si>
  <si>
    <t>107  1x12 esp 3,2             5,529</t>
  </si>
  <si>
    <t>m8 Conj. US713 (5/8x18) Fiat 600</t>
  </si>
  <si>
    <t xml:space="preserve">04-008                       2,101   </t>
  </si>
  <si>
    <t>5/8x18                             2,616</t>
  </si>
  <si>
    <r>
      <t>NAVIA</t>
    </r>
    <r>
      <rPr>
        <sz val="10"/>
        <color indexed="8"/>
        <rFont val="Arial"/>
        <family val="2"/>
      </rPr>
      <t xml:space="preserve">    (ver códigos)</t>
    </r>
  </si>
  <si>
    <t>Código                              Precio</t>
  </si>
  <si>
    <t>D 29x H 95</t>
  </si>
  <si>
    <t>26-071                                 0,186</t>
  </si>
  <si>
    <t>26-069                                 0,369</t>
  </si>
  <si>
    <t>26-136                                0,587</t>
  </si>
  <si>
    <t>26-007                               0,198</t>
  </si>
  <si>
    <t>26-005                               0,308</t>
  </si>
  <si>
    <t>26-249                               0,174</t>
  </si>
  <si>
    <t>26-210                               0,210</t>
  </si>
  <si>
    <t>26-146                               0,279</t>
  </si>
  <si>
    <t>26-211                               0,304</t>
  </si>
  <si>
    <t>26-245                               0,304</t>
  </si>
  <si>
    <t>26-008                               0,430</t>
  </si>
  <si>
    <t>26-202                               0,584</t>
  </si>
  <si>
    <t>D43xH95 (2 filas aug)</t>
  </si>
  <si>
    <t>26-182                               0,590</t>
  </si>
  <si>
    <t>D43xH110 (reforz.)</t>
  </si>
  <si>
    <t xml:space="preserve">26-193                               0,682             </t>
  </si>
  <si>
    <t>D43xH150 (1ref.)</t>
  </si>
  <si>
    <t>26-131                              0,930</t>
  </si>
  <si>
    <t>D43xH170 (1 ref.)</t>
  </si>
  <si>
    <t>26-196                              1,053</t>
  </si>
  <si>
    <t>26-189                               1,239</t>
  </si>
  <si>
    <t>D42xH46</t>
  </si>
  <si>
    <t>26-250                                0,277</t>
  </si>
  <si>
    <t>D42xH28</t>
  </si>
  <si>
    <t>26--249                               0,168</t>
  </si>
  <si>
    <t>D42xH50</t>
  </si>
  <si>
    <t>26--237                               0,300</t>
  </si>
  <si>
    <t>03--011                              1,231</t>
  </si>
  <si>
    <r>
      <t xml:space="preserve">NAVIA </t>
    </r>
    <r>
      <rPr>
        <sz val="10"/>
        <color indexed="8"/>
        <rFont val="Arial"/>
        <family val="2"/>
      </rPr>
      <t xml:space="preserve"> (Ver códigos)</t>
    </r>
  </si>
  <si>
    <t>64x25V</t>
  </si>
  <si>
    <t>15--1691                           0,287</t>
  </si>
  <si>
    <t>03--1841                           0,630</t>
  </si>
  <si>
    <t>03--1931                           0,976</t>
  </si>
  <si>
    <t>15-1631                           0,351</t>
  </si>
  <si>
    <t>15-1611                          0,356</t>
  </si>
  <si>
    <t xml:space="preserve">15-1581                          0,391 </t>
  </si>
  <si>
    <t xml:space="preserve">15-1571                          0,361  </t>
  </si>
  <si>
    <t>03--1921                        0,670</t>
  </si>
  <si>
    <t>15--1531                        0,460</t>
  </si>
  <si>
    <t>86xEx2 (kilos)</t>
  </si>
  <si>
    <t>15--1741                        0,961</t>
  </si>
  <si>
    <t>15--1841                        0,572</t>
  </si>
  <si>
    <t>15-1781                         0,572</t>
  </si>
  <si>
    <t xml:space="preserve">03--1961                       1,110 </t>
  </si>
  <si>
    <t xml:space="preserve">15--1861                       0,576  </t>
  </si>
  <si>
    <t>15--1871                       0,576</t>
  </si>
  <si>
    <t>Cnjto MB 1517</t>
  </si>
  <si>
    <t>03--0991                       3,642</t>
  </si>
  <si>
    <t>Cnjto MB 1215</t>
  </si>
  <si>
    <t>Cnjto MB 1315</t>
  </si>
  <si>
    <t>15-0081                        0,573</t>
  </si>
  <si>
    <t>15-0061                        0,570</t>
  </si>
  <si>
    <t>03-0307                         0,822</t>
  </si>
  <si>
    <t>JUNTAS</t>
  </si>
  <si>
    <t>PRIMERA OPCIÓN</t>
  </si>
  <si>
    <t>ANCALPHIA                  PRECIO</t>
  </si>
  <si>
    <t xml:space="preserve">SEGUNDA OPCÍON </t>
  </si>
  <si>
    <t>SAN CARLOS               PRECIO</t>
  </si>
  <si>
    <t>1.017                                0,1117</t>
  </si>
  <si>
    <t>C 507                              0,5575</t>
  </si>
  <si>
    <t>1.020                                0,0918</t>
  </si>
  <si>
    <t>C 509                              0,6239</t>
  </si>
  <si>
    <t>1.028                                0,1044</t>
  </si>
  <si>
    <t>C 510                              0,6624</t>
  </si>
  <si>
    <t>1.048                                  0,121</t>
  </si>
  <si>
    <t>1.060                                0,5363</t>
  </si>
  <si>
    <t xml:space="preserve">C 516                              0,8818 </t>
  </si>
  <si>
    <t>1.083                                0,1888</t>
  </si>
  <si>
    <t xml:space="preserve">             CONJUNTOS</t>
  </si>
  <si>
    <t>C 517                              2,2382</t>
  </si>
  <si>
    <t>1.075                               1,2256</t>
  </si>
  <si>
    <t>C 550                              1,8156</t>
  </si>
  <si>
    <t>1.084                               0,1873</t>
  </si>
  <si>
    <t>C 5011                             0,6101</t>
  </si>
  <si>
    <t>1.099                                0,1929</t>
  </si>
  <si>
    <t>1.191                               0,6159</t>
  </si>
  <si>
    <t>J 116                                 0,359</t>
  </si>
  <si>
    <t>1.320                                0,4366</t>
  </si>
  <si>
    <t>J 177                                0,895</t>
  </si>
  <si>
    <t>1.348                                0,4358</t>
  </si>
  <si>
    <t>J 323                               0,3619</t>
  </si>
  <si>
    <t>1.357                                0,1177</t>
  </si>
  <si>
    <t>JE 044     Dowel               1,6828</t>
  </si>
  <si>
    <t>1.832                                 1,199</t>
  </si>
  <si>
    <t>FF 123                             0,7571</t>
  </si>
  <si>
    <t>1.384                                0,1804</t>
  </si>
  <si>
    <t>FF 125                             0,7571</t>
  </si>
  <si>
    <t>1.394                                0,1804</t>
  </si>
  <si>
    <t>1.446                               0,4443</t>
  </si>
  <si>
    <t>1.486                               0,8696</t>
  </si>
  <si>
    <t>3.010                               0,4424</t>
  </si>
  <si>
    <t>3.011                                0,5185</t>
  </si>
  <si>
    <t>3.027                                1,0077</t>
  </si>
  <si>
    <t>CAJAS</t>
  </si>
  <si>
    <t>ETIQUETAS</t>
  </si>
  <si>
    <t>CÓDIGO                         PRECIO</t>
  </si>
  <si>
    <t>71                                       0,5</t>
  </si>
  <si>
    <t>CÓDIGO                        PRECIO</t>
  </si>
  <si>
    <t>MEDIDAS</t>
  </si>
  <si>
    <t>72                                      0,48</t>
  </si>
  <si>
    <t>2010                                   0,04</t>
  </si>
  <si>
    <t>105                                    0,46</t>
  </si>
  <si>
    <t>2013                                   0,72</t>
  </si>
  <si>
    <t>70x50</t>
  </si>
  <si>
    <t>115                                    0,5</t>
  </si>
  <si>
    <t>2016                                  0,136</t>
  </si>
  <si>
    <t>117                                    0,53</t>
  </si>
  <si>
    <t>125                                    0,57</t>
  </si>
  <si>
    <t>CINTA</t>
  </si>
  <si>
    <t>127                                    1,29</t>
  </si>
  <si>
    <t>128                                    1,29</t>
  </si>
  <si>
    <t>129                                   0,92</t>
  </si>
  <si>
    <t>Aire Redondo (AR)</t>
  </si>
  <si>
    <t>TERCERA OPCIÓN</t>
  </si>
  <si>
    <t xml:space="preserve">                                     PRECIO</t>
  </si>
  <si>
    <t xml:space="preserve">                      PRECIO</t>
  </si>
  <si>
    <t>AR 225</t>
  </si>
  <si>
    <t>FA 0801                                         16,83</t>
  </si>
  <si>
    <t>Dx 1007                              19,23</t>
  </si>
  <si>
    <t>MR 225              23,90</t>
  </si>
  <si>
    <t>AR 028</t>
  </si>
  <si>
    <t>Dx 1802                                            4,23</t>
  </si>
  <si>
    <t>MR 043                                5,14</t>
  </si>
  <si>
    <t>AR 037</t>
  </si>
  <si>
    <t>Dx 1110                                            5,09</t>
  </si>
  <si>
    <t>FA 0221                               6,20</t>
  </si>
  <si>
    <t>MR 009              13,98</t>
  </si>
  <si>
    <t>AR 042</t>
  </si>
  <si>
    <t>Dx 1700                                            8,04</t>
  </si>
  <si>
    <t>FA 0502                               8,44</t>
  </si>
  <si>
    <t>MR 050              11,22</t>
  </si>
  <si>
    <t>AR 070</t>
  </si>
  <si>
    <t>Dx 1116                                             5,27</t>
  </si>
  <si>
    <t>FA 0209                              6,83</t>
  </si>
  <si>
    <t>AR 045</t>
  </si>
  <si>
    <t>FA 0210                                            6,96</t>
  </si>
  <si>
    <t>Dx 1108                              8,96</t>
  </si>
  <si>
    <t>MR 010               11,24</t>
  </si>
  <si>
    <t>AR 125</t>
  </si>
  <si>
    <t>Dx 1204                                            8,54</t>
  </si>
  <si>
    <t>FA 0311                              8,86</t>
  </si>
  <si>
    <t>MR 033               11,87</t>
  </si>
  <si>
    <t>AR 130</t>
  </si>
  <si>
    <t>Dx 1201                                             8,87</t>
  </si>
  <si>
    <t>MR 039                               13,98</t>
  </si>
  <si>
    <t>AR 261</t>
  </si>
  <si>
    <t>Dx 1215                                           31,92</t>
  </si>
  <si>
    <t>MR 261                                33,62</t>
  </si>
  <si>
    <t>AR 180</t>
  </si>
  <si>
    <t>Dx1809                                             11,10</t>
  </si>
  <si>
    <t>MR 076                                14,73</t>
  </si>
  <si>
    <t>AR 021</t>
  </si>
  <si>
    <t>FA 0127                                            6,73</t>
  </si>
  <si>
    <t>Dx 1628                               6,74</t>
  </si>
  <si>
    <t>MR 021                 7,13</t>
  </si>
  <si>
    <t>AR 304</t>
  </si>
  <si>
    <t>FA 0115</t>
  </si>
  <si>
    <t>AR 305</t>
  </si>
  <si>
    <t>Dx 1604</t>
  </si>
  <si>
    <t>AR 306</t>
  </si>
  <si>
    <t>Dx 1605                                            7,37</t>
  </si>
  <si>
    <t>MR 141                               12,35</t>
  </si>
  <si>
    <t>AR 307</t>
  </si>
  <si>
    <t>Dx 1617                                            8,60</t>
  </si>
  <si>
    <t>FA 0107                               9,83</t>
  </si>
  <si>
    <t>MR 126               10,99</t>
  </si>
  <si>
    <t>AR 116</t>
  </si>
  <si>
    <t>FA 0116                                           22,57</t>
  </si>
  <si>
    <t>MR 148                               33,59</t>
  </si>
  <si>
    <t>Dx 1616              33,94</t>
  </si>
  <si>
    <t>AR 233</t>
  </si>
  <si>
    <t>FA 0233                                           10,87</t>
  </si>
  <si>
    <t>Dx 1615                              12,77</t>
  </si>
  <si>
    <t>MR 019               14,11</t>
  </si>
  <si>
    <t>MR 160               14,11</t>
  </si>
  <si>
    <t>AR 022</t>
  </si>
  <si>
    <t>Dx 1113                                             8,03</t>
  </si>
  <si>
    <t>FA 0409                             8,53</t>
  </si>
  <si>
    <t>MR 058               9,47</t>
  </si>
  <si>
    <t>AR 023</t>
  </si>
  <si>
    <t>Dx 1501                                             5,69</t>
  </si>
  <si>
    <t>MR 065                              8,10</t>
  </si>
  <si>
    <t>FA 407</t>
  </si>
  <si>
    <t>AR 038</t>
  </si>
  <si>
    <t>Dx 1504                                             7,21</t>
  </si>
  <si>
    <t>FA 0414                             8,43</t>
  </si>
  <si>
    <t>MR 059              9,77</t>
  </si>
  <si>
    <t>AR 046</t>
  </si>
  <si>
    <t>Dx 1508                                             7,25</t>
  </si>
  <si>
    <t>FA 0411                             8,66</t>
  </si>
  <si>
    <t>MR 061              9,95</t>
  </si>
  <si>
    <t>AR 053</t>
  </si>
  <si>
    <t>FA 0415                                           11,92</t>
  </si>
  <si>
    <t>MR 063                            13,64</t>
  </si>
  <si>
    <t xml:space="preserve">Dx 1503            14,04                 </t>
  </si>
  <si>
    <t>AR 054</t>
  </si>
  <si>
    <t>Dx 1514                                           11,50</t>
  </si>
  <si>
    <t>MR 125                            12,28</t>
  </si>
  <si>
    <t>FA 0413            12,88</t>
  </si>
  <si>
    <t>AR 055</t>
  </si>
  <si>
    <t>Dx 1513                                            10,53</t>
  </si>
  <si>
    <t>FA 0420                           11,93</t>
  </si>
  <si>
    <t>MR 116              14,67</t>
  </si>
  <si>
    <t>AR 056</t>
  </si>
  <si>
    <t>CeDeAr $28</t>
  </si>
  <si>
    <t>FA 413</t>
  </si>
  <si>
    <t>AR 248</t>
  </si>
  <si>
    <t>MR 248                                             14,31</t>
  </si>
  <si>
    <t>Dx 1700                                             8,04</t>
  </si>
  <si>
    <t>MR 050                          11,22</t>
  </si>
  <si>
    <t>AR 520</t>
  </si>
  <si>
    <t>Dx 1520                                             8,71</t>
  </si>
  <si>
    <t>FA 0424                          9,04</t>
  </si>
  <si>
    <t>AR 507</t>
  </si>
  <si>
    <t>Dx 1507                                            3,56</t>
  </si>
  <si>
    <t>FA 406                           4,66</t>
  </si>
  <si>
    <t>MR 060               4,75</t>
  </si>
  <si>
    <t>AR 107</t>
  </si>
  <si>
    <t>FA 3206                                          43,45</t>
  </si>
  <si>
    <t>AR 1150</t>
  </si>
  <si>
    <t>Dx 1117</t>
  </si>
  <si>
    <t>Aire Habitáculo  (AH)</t>
  </si>
  <si>
    <t>AH 101</t>
  </si>
  <si>
    <t>MH 101                                          13,29</t>
  </si>
  <si>
    <t>WH 1100  (145)                    14,46</t>
  </si>
  <si>
    <t>HKC 101              18,11</t>
  </si>
  <si>
    <t xml:space="preserve">AH 102 </t>
  </si>
  <si>
    <t>WH 1101                                        12,79</t>
  </si>
  <si>
    <t>AH 103</t>
  </si>
  <si>
    <t>WH 1102                                        13,05</t>
  </si>
  <si>
    <t>MH 103                               15,70</t>
  </si>
  <si>
    <t>AH 301</t>
  </si>
  <si>
    <t>MH 301                                           11,68</t>
  </si>
  <si>
    <t>WH 1118 (Astra)                  13,58</t>
  </si>
  <si>
    <t>HKC 301             18,39</t>
  </si>
  <si>
    <t>AH 302</t>
  </si>
  <si>
    <t>MH 302                                           12,67</t>
  </si>
  <si>
    <t>WH 1119                             14,67</t>
  </si>
  <si>
    <t>HKC 302             20,58</t>
  </si>
  <si>
    <t>AH  303</t>
  </si>
  <si>
    <t>MH 303                                           14,36</t>
  </si>
  <si>
    <t>WH 1120 (Astra Bra)            14,99</t>
  </si>
  <si>
    <t>HKC 303             20,05</t>
  </si>
  <si>
    <t>WH 1123( Astra Eur)            14,47</t>
  </si>
  <si>
    <t>AH 304</t>
  </si>
  <si>
    <t>MH 304                                          14,72</t>
  </si>
  <si>
    <t>HKC 304                              19,00</t>
  </si>
  <si>
    <t>AH 151</t>
  </si>
  <si>
    <t>MH 151                                           12,40</t>
  </si>
  <si>
    <t>WH 1208 (Xantia)                 13,12</t>
  </si>
  <si>
    <t>HKC 151             19,90</t>
  </si>
  <si>
    <t>WH 1219 (Xsara)</t>
  </si>
  <si>
    <t>AH 152</t>
  </si>
  <si>
    <t>MH 152                                          11,36</t>
  </si>
  <si>
    <t>WH 1250                             14,01</t>
  </si>
  <si>
    <t>HKC 152             18,25</t>
  </si>
  <si>
    <t>AH 153</t>
  </si>
  <si>
    <t>WH 1107                                        13,59</t>
  </si>
  <si>
    <t>HKC 153                              20,24</t>
  </si>
  <si>
    <t>AH 154</t>
  </si>
  <si>
    <t>MH 154                                           13,09</t>
  </si>
  <si>
    <t>WH 1237                             14,59</t>
  </si>
  <si>
    <t>HKC 154             19,76</t>
  </si>
  <si>
    <t>AH 201</t>
  </si>
  <si>
    <t>MH 201                                          11,58</t>
  </si>
  <si>
    <t>WH 1109 (Palio)                   12,59</t>
  </si>
  <si>
    <t>WH 1244 (Siena)</t>
  </si>
  <si>
    <t>AH 202</t>
  </si>
  <si>
    <t>WH 1216                                       14,46</t>
  </si>
  <si>
    <t>MH 202                               14,60</t>
  </si>
  <si>
    <t>HKC 202             18,11</t>
  </si>
  <si>
    <t>AH 203</t>
  </si>
  <si>
    <t>WH 1162                                        13,05</t>
  </si>
  <si>
    <t>MH 203                               15,70</t>
  </si>
  <si>
    <t>HKC 203             19,00</t>
  </si>
  <si>
    <t>AH 204</t>
  </si>
  <si>
    <t>WH 1110 (Palio II)                           13,69</t>
  </si>
  <si>
    <t>MH 204                                16,04</t>
  </si>
  <si>
    <t xml:space="preserve">WH 1248 (Siena II) </t>
  </si>
  <si>
    <t>AH 205</t>
  </si>
  <si>
    <t>MH 205                                           9,92</t>
  </si>
  <si>
    <t>WH 1238 (Palio III)                12,38</t>
  </si>
  <si>
    <t>HKC 205             14,41</t>
  </si>
  <si>
    <t>WH 1230 (Siena III)</t>
  </si>
  <si>
    <t>AH 251</t>
  </si>
  <si>
    <t>MH 251                                          12,64</t>
  </si>
  <si>
    <t>WH 1199 (Fiesta)                 14,48</t>
  </si>
  <si>
    <t>HKC 251             20,37</t>
  </si>
  <si>
    <t>AH 252</t>
  </si>
  <si>
    <t>MH 252                                           13,09</t>
  </si>
  <si>
    <t>WH 1354                             13,42</t>
  </si>
  <si>
    <t>HKC 252             23,33</t>
  </si>
  <si>
    <t>AH 253</t>
  </si>
  <si>
    <t>MH 253                                           16,34</t>
  </si>
  <si>
    <t>WH 1355                             17,11</t>
  </si>
  <si>
    <t>HKC 253             19,85</t>
  </si>
  <si>
    <t>AH 601</t>
  </si>
  <si>
    <t>MH 601                                            18,28</t>
  </si>
  <si>
    <t>HKC 601                              22,64</t>
  </si>
  <si>
    <t>AH 651</t>
  </si>
  <si>
    <t>MH 651                                           30,29</t>
  </si>
  <si>
    <t>AH 551</t>
  </si>
  <si>
    <t>WH 1144 (1840)                               14,43</t>
  </si>
  <si>
    <t>AH 552</t>
  </si>
  <si>
    <t>WH 1145 (Clase A)                          18,22</t>
  </si>
  <si>
    <t>MH 552                              21,83</t>
  </si>
  <si>
    <t>WH 1146 (Sprinter)                           14,71</t>
  </si>
  <si>
    <t>AH 553</t>
  </si>
  <si>
    <t>MH 553                                            14,13</t>
  </si>
  <si>
    <t>HKC 553                           21,54</t>
  </si>
  <si>
    <t>AH 555</t>
  </si>
  <si>
    <t>MH 555                                            20,20</t>
  </si>
  <si>
    <t>HKC 555                           24,83</t>
  </si>
  <si>
    <t>AH 401</t>
  </si>
  <si>
    <t>WH 1129                                          13,13</t>
  </si>
  <si>
    <t>MH 401                             13,53</t>
  </si>
  <si>
    <t>HKC 401             18,16</t>
  </si>
  <si>
    <t>AH 402</t>
  </si>
  <si>
    <t>WH 1130 (Megane)                            12,42</t>
  </si>
  <si>
    <t>MH 402                              14,32</t>
  </si>
  <si>
    <t>HKC 402              20,00</t>
  </si>
  <si>
    <t>WH 1290 (Scenic)                              13,13</t>
  </si>
  <si>
    <t>AH 403</t>
  </si>
  <si>
    <t>WH 1132 (Scenis A/c)                        13,17</t>
  </si>
  <si>
    <t>HKC 403                            18,05</t>
  </si>
  <si>
    <t>MH 403              18,66</t>
  </si>
  <si>
    <t>AH 404</t>
  </si>
  <si>
    <t>WH 1214 (Megane II)                         12,39</t>
  </si>
  <si>
    <t>MH 404                              15,91</t>
  </si>
  <si>
    <t>HKC 404             20,00</t>
  </si>
  <si>
    <t>AH 351</t>
  </si>
  <si>
    <t>MH 351                                             14,02</t>
  </si>
  <si>
    <t>WH 1125 (todos los 405)     14,69</t>
  </si>
  <si>
    <t>HKC 351             22,64</t>
  </si>
  <si>
    <t>AH 352</t>
  </si>
  <si>
    <t>WH 1126 (todos los 406 desd. 97)        13,76</t>
  </si>
  <si>
    <t>MH 352                              19,63</t>
  </si>
  <si>
    <t>HKC 352             20,58</t>
  </si>
  <si>
    <t>AH 353</t>
  </si>
  <si>
    <t>MH 353                                             12,76</t>
  </si>
  <si>
    <t>WH 1127 (Peug. 206)          14,29</t>
  </si>
  <si>
    <t>HKC 353             21,96</t>
  </si>
  <si>
    <t>AH 354</t>
  </si>
  <si>
    <t>MH 354                                            13,34</t>
  </si>
  <si>
    <t>WH 1167 (307 todos)          14,59</t>
  </si>
  <si>
    <t>HKC 354            20,37</t>
  </si>
  <si>
    <t>AH 355</t>
  </si>
  <si>
    <t>MH 355                                            12,40</t>
  </si>
  <si>
    <t>WH 1166 (Partner nafta)     14,01</t>
  </si>
  <si>
    <t>HKC 355           19,90</t>
  </si>
  <si>
    <t>WH 1165 (Partner diesel)    13,12</t>
  </si>
  <si>
    <t>AH 801</t>
  </si>
  <si>
    <t>HKC 801                                          45,74</t>
  </si>
  <si>
    <t>AH 452</t>
  </si>
  <si>
    <t>MH 452                                            11,82</t>
  </si>
  <si>
    <t>WH 1173 (Córdoba)           13,70</t>
  </si>
  <si>
    <t>HKC 452           22,64</t>
  </si>
  <si>
    <t>AH 501</t>
  </si>
  <si>
    <t>MH 501                                            11,82</t>
  </si>
  <si>
    <t>WH 1235 (Polo)</t>
  </si>
  <si>
    <t>HKC 501           22,64</t>
  </si>
  <si>
    <t>WH 1233 (Bora)                13,70</t>
  </si>
  <si>
    <t>WH 1204 (Golf III 94-99)</t>
  </si>
  <si>
    <t>WH 1140 (Golf IV 97-07)    14,11</t>
  </si>
  <si>
    <t>WH 1265 (Golf V 03)          16,74</t>
  </si>
  <si>
    <t>WH 1286 (Golf VI)</t>
  </si>
  <si>
    <t>AH 503</t>
  </si>
  <si>
    <t>MH 503                                           12,05</t>
  </si>
  <si>
    <t>WH 1138 (Gol)                    13,70</t>
  </si>
  <si>
    <t>HKC 503           20,82</t>
  </si>
  <si>
    <t>AH 504</t>
  </si>
  <si>
    <t>WH 1143 (Passat 06)                       16,74</t>
  </si>
  <si>
    <t>MH 504                              19,82</t>
  </si>
  <si>
    <t>HKC 504           21,54</t>
  </si>
  <si>
    <t>AH 508</t>
  </si>
  <si>
    <t>MH 508                                           11,36</t>
  </si>
  <si>
    <t>WH 1249 (Fox)                   13,52</t>
  </si>
  <si>
    <t>HKC 508          18,52</t>
  </si>
  <si>
    <t>WH 1240 (Suran)</t>
  </si>
  <si>
    <t>Aire Panel (AP)</t>
  </si>
  <si>
    <t>AP 159</t>
  </si>
  <si>
    <t>Dx 1621                                          10,13</t>
  </si>
  <si>
    <t>FA 0128                                          10,31</t>
  </si>
  <si>
    <t>MR 274             10,38</t>
  </si>
  <si>
    <t xml:space="preserve"> </t>
  </si>
  <si>
    <t>AP 022</t>
  </si>
  <si>
    <t>FA 0806                                           9,33</t>
  </si>
  <si>
    <t>Dx 1014                                           9,60</t>
  </si>
  <si>
    <t>MR 152             10,90</t>
  </si>
  <si>
    <t>AP 048</t>
  </si>
  <si>
    <t>Dx 1015                                          11,46</t>
  </si>
  <si>
    <t>MR 170                                           12,89</t>
  </si>
  <si>
    <t>AP 003</t>
  </si>
  <si>
    <t>FA 0220                                          10,00</t>
  </si>
  <si>
    <t>Dx  1121                                         11,03</t>
  </si>
  <si>
    <t>MR 016             11,36</t>
  </si>
  <si>
    <t>AP 019</t>
  </si>
  <si>
    <t>MR 018                                            8,08</t>
  </si>
  <si>
    <t>Dx 1120                                          12,60</t>
  </si>
  <si>
    <t>AP 020</t>
  </si>
  <si>
    <t>FA 0235                                           9,83</t>
  </si>
  <si>
    <t>Dx 1125                                           11,25</t>
  </si>
  <si>
    <t>MR 171              11,51</t>
  </si>
  <si>
    <t>AP 005</t>
  </si>
  <si>
    <t>FA 0303                                          12,55</t>
  </si>
  <si>
    <t>AP 007</t>
  </si>
  <si>
    <t>Dx 1231                                         10,89</t>
  </si>
  <si>
    <t>MR 175                                           13,54</t>
  </si>
  <si>
    <t>FA 0328            15,55</t>
  </si>
  <si>
    <t>AP 047</t>
  </si>
  <si>
    <t>MR 127                                            8,69</t>
  </si>
  <si>
    <t>FA 0302                                            9,61</t>
  </si>
  <si>
    <t>AP 178</t>
  </si>
  <si>
    <t>MR 178                                           20,80</t>
  </si>
  <si>
    <t>AP 002</t>
  </si>
  <si>
    <t>FA 0125                                         12,56</t>
  </si>
  <si>
    <t>MR 105                                          14,52</t>
  </si>
  <si>
    <t>Dx 1625             15,22</t>
  </si>
  <si>
    <t>AP 226</t>
  </si>
  <si>
    <t>MR 226                                           26,05</t>
  </si>
  <si>
    <t>AP 264</t>
  </si>
  <si>
    <t>MR 237                                          14,83</t>
  </si>
  <si>
    <t>FA 0114                                          27,62</t>
  </si>
  <si>
    <t>FA 0128                                         10,31</t>
  </si>
  <si>
    <t>MR 274                                          12,93</t>
  </si>
  <si>
    <t>AP 241</t>
  </si>
  <si>
    <t>Dx 1523                                          16,26</t>
  </si>
  <si>
    <t>MR 241                                          20,52</t>
  </si>
  <si>
    <t>FA 0402            31,58</t>
  </si>
  <si>
    <t>AP 263</t>
  </si>
  <si>
    <t>MR 263                                          19,00</t>
  </si>
  <si>
    <t>AP 317</t>
  </si>
  <si>
    <t>MR 317                                           9,98</t>
  </si>
  <si>
    <t>AP 265</t>
  </si>
  <si>
    <t>MR 265                                          9,98</t>
  </si>
  <si>
    <t>AP 324</t>
  </si>
  <si>
    <t>MR 324                                         15,68</t>
  </si>
  <si>
    <t>AP944</t>
  </si>
  <si>
    <t>FA 3101                                        8,92</t>
  </si>
  <si>
    <t>MR 308                                           11,36</t>
  </si>
  <si>
    <t>AP 001</t>
  </si>
  <si>
    <t>FA 0501                                        10,05</t>
  </si>
  <si>
    <t>MR 052                                          13,20</t>
  </si>
  <si>
    <t>Dx 1712             13,65</t>
  </si>
  <si>
    <t>AP 015</t>
  </si>
  <si>
    <t>FA 0505                                        12,18</t>
  </si>
  <si>
    <t>MR 140                                          13,87</t>
  </si>
  <si>
    <t>Dx 1710              14,59</t>
  </si>
  <si>
    <t>AP 016</t>
  </si>
  <si>
    <t>FA 0301                                        11,74</t>
  </si>
  <si>
    <t>Dx 1223                                         12,17</t>
  </si>
  <si>
    <t>MR 018               12,21</t>
  </si>
  <si>
    <t>AP 017</t>
  </si>
  <si>
    <t>FA 0506                                       10,90</t>
  </si>
  <si>
    <t>MR 186                                          13,84</t>
  </si>
  <si>
    <t>Dx 1704              13,89</t>
  </si>
  <si>
    <t>CÒDIGO</t>
  </si>
  <si>
    <t>DETALLES</t>
  </si>
  <si>
    <t>USG 713</t>
  </si>
  <si>
    <t>75X84</t>
  </si>
  <si>
    <t xml:space="preserve">Filpar tiene tuerca embutida y Argenfar soldada por lo cual hay que pasarla por aire y dejarla de un dìa para </t>
  </si>
  <si>
    <t>el otro (hay que sacarle el agua que se le entra por la tuerca y mandarla al horno). Cuando se realiza</t>
  </si>
  <si>
    <t>la prueba hidràulica tambièn entra agua  y la carcaza ya està pintada, que que secarla con un trapo</t>
  </si>
  <si>
    <t>y dejarla un dìa màs. En total se necesitan tres dìas para completar el proceso.</t>
  </si>
  <si>
    <t>US 69</t>
  </si>
  <si>
    <t>92X139 (c/n tuerca)</t>
  </si>
  <si>
    <r>
      <t>Filpar es CARA!!</t>
    </r>
    <r>
      <rPr>
        <sz val="10"/>
        <color indexed="8"/>
        <rFont val="Arial"/>
        <family val="2"/>
      </rPr>
      <t>, se puede usar la 92x132 de Argenfar tener en cuenta de que proveedor viene para la</t>
    </r>
  </si>
  <si>
    <t>altura del elemento, como la tuerca es grande se le tiene que poner aire a presiòn y sale facilmente en los</t>
  </si>
  <si>
    <t>dos casos.</t>
  </si>
  <si>
    <t xml:space="preserve">US 309 </t>
  </si>
  <si>
    <t xml:space="preserve">75X55 </t>
  </si>
  <si>
    <r>
      <t xml:space="preserve">Argenfar viene anonizada Fi 081 </t>
    </r>
    <r>
      <rPr>
        <sz val="10"/>
        <color indexed="12"/>
        <rFont val="Arial"/>
        <family val="2"/>
      </rPr>
      <t xml:space="preserve">NO USAR </t>
    </r>
    <r>
      <rPr>
        <sz val="10"/>
        <color indexed="8"/>
        <rFont val="Arial"/>
        <family val="2"/>
      </rPr>
      <t>, pedir sòlo Filpar.</t>
    </r>
  </si>
  <si>
    <t>US 050</t>
  </si>
  <si>
    <t>75X60 (c/ntuerca)</t>
  </si>
  <si>
    <t>Ver si no es soldada. Argenfar es soldada, en todo caso pedir sòlo Filpar.</t>
  </si>
  <si>
    <t>US 072</t>
  </si>
  <si>
    <t>22X69</t>
  </si>
  <si>
    <t xml:space="preserve">Argenfar Fi 008 viene pesada, hay que usar bridas de Eurofil ya que las de Argenfar falta probarlas y </t>
  </si>
  <si>
    <r>
      <t>Navia con la carcaza de Argenfar</t>
    </r>
    <r>
      <rPr>
        <sz val="10"/>
        <color indexed="12"/>
        <rFont val="Arial"/>
        <family val="2"/>
      </rPr>
      <t xml:space="preserve"> NO FUNCIONA.</t>
    </r>
  </si>
  <si>
    <t xml:space="preserve">US 105 (Citroen) </t>
  </si>
  <si>
    <t xml:space="preserve">    -----------------</t>
  </si>
  <si>
    <r>
      <t>Usar brida solo de Eurofil</t>
    </r>
    <r>
      <rPr>
        <sz val="10"/>
        <color indexed="8"/>
        <rFont val="Arial"/>
        <family val="2"/>
      </rPr>
      <t>, de Navia no funciona y de Argenfar ¿?</t>
    </r>
  </si>
  <si>
    <t>USG 796</t>
  </si>
  <si>
    <t xml:space="preserve">    ------------------</t>
  </si>
  <si>
    <r>
      <t>Tener cuidado</t>
    </r>
    <r>
      <rPr>
        <sz val="10"/>
        <color indexed="8"/>
        <rFont val="Arial"/>
        <family val="2"/>
      </rPr>
      <t xml:space="preserve"> con Filpar que las hace de 113 y  Argenfar de 110. hay que realizar diferentes elementos </t>
    </r>
  </si>
  <si>
    <t>dependiendo de cada carcaza.</t>
  </si>
  <si>
    <t>US 054</t>
  </si>
  <si>
    <r>
      <t>Sòlo se usa brida de Navia</t>
    </r>
    <r>
      <rPr>
        <sz val="10"/>
        <color indexed="8"/>
        <rFont val="Arial"/>
        <family val="2"/>
      </rPr>
      <t xml:space="preserve"> ya que las demàs tocan contra un tornillo y no se puede ajustar, por lo tanto</t>
    </r>
  </si>
  <si>
    <t>la junta no cierra bien y pierde aceite.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</si>
</sst>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0.00%"/>
    <numFmt numFmtId="166" formatCode="0.00"/>
    <numFmt numFmtId="167" formatCode="#,##0.000"/>
    <numFmt numFmtId="168" formatCode="#,##0.00"/>
    <numFmt numFmtId="169" formatCode="#,#00.000%;[RED]\-#,#00.000%"/>
    <numFmt numFmtId="170" formatCode="#,##0.000;[RED]\-#,##0.000"/>
    <numFmt numFmtId="171" formatCode="#,##0.0000;[RED]\-#,##0.0000"/>
    <numFmt numFmtId="172" formatCode="#,##0.0000%;[RED]\-#,##0.0000%"/>
    <numFmt numFmtId="173" formatCode="0.0000"/>
    <numFmt numFmtId="174" formatCode="0.000"/>
    <numFmt numFmtId="175" formatCode="#,##0.00;[RED]\-#,##0.00"/>
    <numFmt numFmtId="176" formatCode="@"/>
    <numFmt numFmtId="177" formatCode="#,##0.00%;[RED]\-#,##0.00%"/>
    <numFmt numFmtId="178" formatCode="00.000"/>
    <numFmt numFmtId="179" formatCode="#,##0.00000;[RED]\-#,##0.00000"/>
    <numFmt numFmtId="180" formatCode="MM/YY"/>
    <numFmt numFmtId="181" formatCode="[$$-2C0A]#,##0.00;[RED]\([$$-2C0A]#,##0.00\)"/>
    <numFmt numFmtId="182" formatCode="&quot;$ &quot;#,##0.00;[RED]&quot;$ -&quot;#,##0.00"/>
    <numFmt numFmtId="183" formatCode="#,#00.00%;[RED]\-#,#00.00%"/>
    <numFmt numFmtId="184" formatCode="#,#00.0%;[RED]\-#,#00.0%"/>
    <numFmt numFmtId="185" formatCode="#,##0"/>
  </numFmts>
  <fonts count="2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Sans"/>
      <family val="2"/>
    </font>
    <font>
      <b/>
      <sz val="10"/>
      <color indexed="9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9"/>
      <name val="Arial Narrow"/>
      <family val="2"/>
    </font>
    <font>
      <b/>
      <u val="single"/>
      <sz val="10"/>
      <name val="Arial"/>
      <family val="2"/>
    </font>
    <font>
      <sz val="10"/>
      <color indexed="8"/>
      <name val="Arial;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20"/>
      <name val="Arial"/>
      <family val="2"/>
    </font>
    <font>
      <sz val="8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3" fillId="4" borderId="0" xfId="0" applyNumberFormat="1" applyFont="1" applyFill="1" applyBorder="1" applyAlignment="1" applyProtection="1">
      <alignment/>
      <protection/>
    </xf>
    <xf numFmtId="164" fontId="4" fillId="5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0" fillId="6" borderId="0" xfId="0" applyNumberFormat="1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 applyProtection="1">
      <alignment/>
      <protection/>
    </xf>
    <xf numFmtId="167" fontId="0" fillId="7" borderId="0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64" fontId="0" fillId="5" borderId="0" xfId="0" applyNumberFormat="1" applyFont="1" applyFill="1" applyBorder="1" applyAlignment="1" applyProtection="1">
      <alignment/>
      <protection/>
    </xf>
    <xf numFmtId="164" fontId="4" fillId="5" borderId="0" xfId="0" applyNumberFormat="1" applyFont="1" applyFill="1" applyBorder="1" applyAlignment="1" applyProtection="1">
      <alignment horizontal="right"/>
      <protection/>
    </xf>
    <xf numFmtId="167" fontId="0" fillId="8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7" fontId="0" fillId="5" borderId="0" xfId="0" applyNumberFormat="1" applyFont="1" applyFill="1" applyBorder="1" applyAlignment="1" applyProtection="1">
      <alignment/>
      <protection/>
    </xf>
    <xf numFmtId="167" fontId="0" fillId="4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64" fontId="6" fillId="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7" fontId="0" fillId="9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7" borderId="0" xfId="0" applyNumberFormat="1" applyFont="1" applyFill="1" applyBorder="1" applyAlignment="1" applyProtection="1">
      <alignment/>
      <protection/>
    </xf>
    <xf numFmtId="164" fontId="4" fillId="6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7" fontId="3" fillId="4" borderId="0" xfId="0" applyNumberFormat="1" applyFont="1" applyFill="1" applyBorder="1" applyAlignment="1" applyProtection="1">
      <alignment/>
      <protection/>
    </xf>
    <xf numFmtId="174" fontId="4" fillId="5" borderId="0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 applyProtection="1">
      <alignment/>
      <protection/>
    </xf>
    <xf numFmtId="164" fontId="7" fillId="4" borderId="0" xfId="0" applyNumberFormat="1" applyFont="1" applyFill="1" applyBorder="1" applyAlignment="1" applyProtection="1">
      <alignment/>
      <protection/>
    </xf>
    <xf numFmtId="164" fontId="8" fillId="4" borderId="0" xfId="0" applyNumberFormat="1" applyFont="1" applyFill="1" applyBorder="1" applyAlignment="1" applyProtection="1">
      <alignment/>
      <protection/>
    </xf>
    <xf numFmtId="174" fontId="4" fillId="5" borderId="0" xfId="0" applyNumberFormat="1" applyFont="1" applyFill="1" applyBorder="1" applyAlignment="1" applyProtection="1">
      <alignment/>
      <protection/>
    </xf>
    <xf numFmtId="164" fontId="4" fillId="4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10" borderId="0" xfId="0" applyNumberFormat="1" applyFont="1" applyFill="1" applyBorder="1" applyAlignment="1" applyProtection="1">
      <alignment horizontal="center"/>
      <protection/>
    </xf>
    <xf numFmtId="164" fontId="1" fillId="10" borderId="0" xfId="0" applyNumberFormat="1" applyFont="1" applyFill="1" applyBorder="1" applyAlignment="1" applyProtection="1">
      <alignment horizontal="center" wrapText="1"/>
      <protection/>
    </xf>
    <xf numFmtId="164" fontId="1" fillId="11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wrapText="1"/>
      <protection/>
    </xf>
    <xf numFmtId="164" fontId="0" fillId="4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176" fontId="0" fillId="4" borderId="0" xfId="0" applyNumberFormat="1" applyFont="1" applyFill="1" applyBorder="1" applyAlignment="1" applyProtection="1">
      <alignment horizontal="center"/>
      <protection/>
    </xf>
    <xf numFmtId="164" fontId="0" fillId="4" borderId="0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7" fontId="4" fillId="7" borderId="0" xfId="0" applyNumberFormat="1" applyFont="1" applyFill="1" applyBorder="1" applyAlignment="1" applyProtection="1">
      <alignment/>
      <protection/>
    </xf>
    <xf numFmtId="164" fontId="0" fillId="9" borderId="0" xfId="0" applyNumberFormat="1" applyFont="1" applyFill="1" applyBorder="1" applyAlignment="1" applyProtection="1">
      <alignment/>
      <protection/>
    </xf>
    <xf numFmtId="164" fontId="0" fillId="12" borderId="0" xfId="0" applyNumberFormat="1" applyFont="1" applyFill="1" applyBorder="1" applyAlignment="1" applyProtection="1">
      <alignment horizontal="left"/>
      <protection/>
    </xf>
    <xf numFmtId="164" fontId="0" fillId="6" borderId="0" xfId="0" applyNumberFormat="1" applyFont="1" applyFill="1" applyBorder="1" applyAlignment="1" applyProtection="1">
      <alignment/>
      <protection/>
    </xf>
    <xf numFmtId="164" fontId="0" fillId="13" borderId="0" xfId="0" applyNumberFormat="1" applyFont="1" applyFill="1" applyBorder="1" applyAlignment="1" applyProtection="1">
      <alignment horizontal="right"/>
      <protection/>
    </xf>
    <xf numFmtId="164" fontId="0" fillId="13" borderId="0" xfId="0" applyNumberFormat="1" applyFont="1" applyFill="1" applyBorder="1" applyAlignment="1" applyProtection="1">
      <alignment/>
      <protection/>
    </xf>
    <xf numFmtId="164" fontId="0" fillId="13" borderId="0" xfId="0" applyNumberFormat="1" applyFont="1" applyFill="1" applyBorder="1" applyAlignment="1" applyProtection="1">
      <alignment horizontal="left"/>
      <protection/>
    </xf>
    <xf numFmtId="164" fontId="0" fillId="7" borderId="0" xfId="0" applyNumberFormat="1" applyFont="1" applyFill="1" applyBorder="1" applyAlignment="1" applyProtection="1">
      <alignment horizontal="right"/>
      <protection/>
    </xf>
    <xf numFmtId="164" fontId="0" fillId="9" borderId="0" xfId="0" applyNumberFormat="1" applyFont="1" applyFill="1" applyBorder="1" applyAlignment="1" applyProtection="1">
      <alignment horizontal="center"/>
      <protection/>
    </xf>
    <xf numFmtId="164" fontId="0" fillId="12" borderId="0" xfId="0" applyNumberFormat="1" applyFont="1" applyFill="1" applyBorder="1" applyAlignment="1" applyProtection="1">
      <alignment horizontal="center"/>
      <protection/>
    </xf>
    <xf numFmtId="164" fontId="0" fillId="7" borderId="0" xfId="0" applyNumberFormat="1" applyFont="1" applyFill="1" applyBorder="1" applyAlignment="1" applyProtection="1">
      <alignment horizontal="center"/>
      <protection/>
    </xf>
    <xf numFmtId="164" fontId="0" fillId="13" borderId="0" xfId="0" applyNumberFormat="1" applyFont="1" applyFill="1" applyBorder="1" applyAlignment="1" applyProtection="1">
      <alignment horizontal="center"/>
      <protection/>
    </xf>
    <xf numFmtId="164" fontId="0" fillId="14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3" fillId="15" borderId="0" xfId="0" applyNumberFormat="1" applyFont="1" applyFill="1" applyBorder="1" applyAlignment="1" applyProtection="1">
      <alignment horizontal="center"/>
      <protection/>
    </xf>
    <xf numFmtId="164" fontId="0" fillId="15" borderId="0" xfId="0" applyNumberFormat="1" applyFont="1" applyFill="1" applyBorder="1" applyAlignment="1" applyProtection="1">
      <alignment/>
      <protection/>
    </xf>
    <xf numFmtId="164" fontId="13" fillId="16" borderId="0" xfId="0" applyNumberFormat="1" applyFont="1" applyFill="1" applyBorder="1" applyAlignment="1" applyProtection="1">
      <alignment horizontal="center"/>
      <protection/>
    </xf>
    <xf numFmtId="164" fontId="0" fillId="16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77" fontId="0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164" fontId="0" fillId="17" borderId="0" xfId="0" applyNumberFormat="1" applyFont="1" applyFill="1" applyBorder="1" applyAlignment="1" applyProtection="1">
      <alignment/>
      <protection/>
    </xf>
    <xf numFmtId="164" fontId="0" fillId="18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0" fillId="8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4" fontId="0" fillId="5" borderId="0" xfId="0" applyNumberFormat="1" applyFont="1" applyFill="1" applyBorder="1" applyAlignment="1" applyProtection="1">
      <alignment/>
      <protection/>
    </xf>
    <xf numFmtId="178" fontId="4" fillId="5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180" fontId="0" fillId="7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64" fontId="17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 horizontal="center"/>
      <protection/>
    </xf>
    <xf numFmtId="167" fontId="22" fillId="0" borderId="0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4" fontId="22" fillId="0" borderId="0" xfId="0" applyNumberFormat="1" applyFont="1" applyFill="1" applyBorder="1" applyAlignment="1" applyProtection="1">
      <alignment horizontal="center"/>
      <protection/>
    </xf>
    <xf numFmtId="168" fontId="23" fillId="0" borderId="0" xfId="0" applyNumberFormat="1" applyFont="1" applyFill="1" applyBorder="1" applyAlignment="1" applyProtection="1">
      <alignment horizontal="center"/>
      <protection/>
    </xf>
    <xf numFmtId="173" fontId="6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right"/>
    </xf>
    <xf numFmtId="184" fontId="0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23FF23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EB613D"/>
      <rgbColor rgb="00CC99FF"/>
      <rgbColor rgb="00FFCC99"/>
      <rgbColor rgb="003366FF"/>
      <rgbColor rgb="0033CC66"/>
      <rgbColor rgb="0099CC00"/>
      <rgbColor rgb="00FFCC00"/>
      <rgbColor rgb="00FF950E"/>
      <rgbColor rgb="00FF6600"/>
      <rgbColor rgb="009966CC"/>
      <rgbColor rgb="00969696"/>
      <rgbColor rgb="00004586"/>
      <rgbColor rgb="00339966"/>
      <rgbColor rgb="00003300"/>
      <rgbColor rgb="00333300"/>
      <rgbColor rgb="00FF420E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7"/>
  <sheetViews>
    <sheetView zoomScaleSheetLayoutView="10" workbookViewId="0" topLeftCell="A130">
      <selection activeCell="D162" sqref="D162"/>
    </sheetView>
  </sheetViews>
  <sheetFormatPr defaultColWidth="11.421875" defaultRowHeight="12.75"/>
  <cols>
    <col min="1" max="1" width="17.00390625" style="1" customWidth="1"/>
    <col min="2" max="3" width="11.421875" style="1" customWidth="1"/>
    <col min="4" max="4" width="18.8515625" style="1" customWidth="1"/>
    <col min="5" max="5" width="16.8515625" style="1" customWidth="1"/>
    <col min="6" max="6" width="13.7109375" style="1" customWidth="1"/>
    <col min="7" max="7" width="12.57421875" style="1" customWidth="1"/>
    <col min="8" max="8" width="16.57421875" style="1" customWidth="1"/>
    <col min="9" max="10" width="11.421875" style="1" customWidth="1"/>
    <col min="11" max="11" width="11.8515625" style="1" customWidth="1"/>
    <col min="12" max="16384" width="11.421875" style="1" customWidth="1"/>
  </cols>
  <sheetData>
    <row r="1" spans="4:11" ht="16.5" customHeight="1">
      <c r="D1" s="2" t="s">
        <v>0</v>
      </c>
      <c r="E1" s="2" t="s">
        <v>0</v>
      </c>
      <c r="F1" s="2" t="s">
        <v>0</v>
      </c>
      <c r="G1" s="2" t="s">
        <v>0</v>
      </c>
      <c r="H1" s="3" t="s">
        <v>1</v>
      </c>
      <c r="I1" s="3" t="s">
        <v>1</v>
      </c>
      <c r="J1" s="3" t="s">
        <v>1</v>
      </c>
      <c r="K1" s="3" t="s">
        <v>1</v>
      </c>
    </row>
    <row r="2" spans="4:20" ht="39.75" customHeight="1">
      <c r="D2" s="4" t="s">
        <v>2</v>
      </c>
      <c r="E2" s="4" t="s">
        <v>3</v>
      </c>
      <c r="F2" s="4" t="s">
        <v>4</v>
      </c>
      <c r="G2" s="4" t="s">
        <v>5</v>
      </c>
      <c r="H2" s="4" t="s">
        <v>2</v>
      </c>
      <c r="I2" s="4" t="s">
        <v>3</v>
      </c>
      <c r="J2" s="4" t="s">
        <v>4</v>
      </c>
      <c r="K2" s="4" t="s">
        <v>5</v>
      </c>
      <c r="R2" s="4" t="s">
        <v>6</v>
      </c>
      <c r="S2" s="4" t="s">
        <v>7</v>
      </c>
      <c r="T2" s="4" t="s">
        <v>8</v>
      </c>
    </row>
    <row r="3" spans="4:11" ht="12.75" customHeight="1">
      <c r="D3" s="5"/>
      <c r="F3" s="6">
        <v>0</v>
      </c>
      <c r="G3" s="6">
        <v>0</v>
      </c>
      <c r="H3" s="5"/>
      <c r="J3" s="6">
        <v>0</v>
      </c>
      <c r="K3" s="6">
        <v>0</v>
      </c>
    </row>
    <row r="4" spans="4:11" ht="12.75" customHeight="1">
      <c r="D4" s="5"/>
      <c r="F4" s="7" t="s">
        <v>9</v>
      </c>
      <c r="G4" s="6">
        <v>0</v>
      </c>
      <c r="H4" s="5"/>
      <c r="J4" s="7" t="s">
        <v>9</v>
      </c>
      <c r="K4" s="6">
        <v>0.5</v>
      </c>
    </row>
    <row r="5" spans="2:14" ht="12.75" customHeight="1">
      <c r="B5" s="1" t="s">
        <v>10</v>
      </c>
      <c r="C5" s="1" t="s">
        <v>11</v>
      </c>
      <c r="L5" s="1" t="s">
        <v>12</v>
      </c>
      <c r="M5" s="1" t="s">
        <v>13</v>
      </c>
      <c r="N5" s="1" t="s">
        <v>14</v>
      </c>
    </row>
    <row r="6" spans="1:20" ht="12.75" customHeight="1">
      <c r="A6" s="1" t="s">
        <v>15</v>
      </c>
      <c r="B6" s="1" t="s">
        <v>16</v>
      </c>
      <c r="C6" s="1">
        <v>50</v>
      </c>
      <c r="D6" s="8" t="s">
        <v>17</v>
      </c>
      <c r="E6" s="9">
        <v>2.76</v>
      </c>
      <c r="F6" s="10">
        <f>E6*(1+$F$3)</f>
        <v>2.76</v>
      </c>
      <c r="G6" s="11">
        <f>F6*(1-(G$3*G$4))</f>
        <v>2.76</v>
      </c>
      <c r="H6" s="12" t="s">
        <v>18</v>
      </c>
      <c r="I6" s="1">
        <v>2.675</v>
      </c>
      <c r="J6" s="1">
        <f>I6*(1+$J$3)</f>
        <v>2.675</v>
      </c>
      <c r="K6" s="13">
        <f>J6*(1-(K$3*K$4))</f>
        <v>2.675</v>
      </c>
      <c r="L6" s="1">
        <v>185</v>
      </c>
      <c r="N6" s="1">
        <f>10*20</f>
        <v>200</v>
      </c>
      <c r="O6" s="1">
        <f>L6+M6+N6</f>
        <v>385</v>
      </c>
      <c r="R6" s="1">
        <v>300</v>
      </c>
      <c r="S6" s="14">
        <f>K6*R6</f>
        <v>802.5</v>
      </c>
      <c r="T6" s="1" t="s">
        <v>19</v>
      </c>
    </row>
    <row r="7" spans="2:19" ht="12.75" customHeight="1">
      <c r="B7" s="1" t="s">
        <v>20</v>
      </c>
      <c r="D7" s="15">
        <f>E6/E7-1</f>
        <v>0.18353344768439106</v>
      </c>
      <c r="E7" s="16">
        <v>2.332</v>
      </c>
      <c r="F7" s="10"/>
      <c r="H7" s="17" t="s">
        <v>21</v>
      </c>
      <c r="I7" s="18"/>
      <c r="J7" s="19"/>
      <c r="K7" s="20"/>
      <c r="S7" s="14"/>
    </row>
    <row r="8" spans="6:19" ht="12.75" customHeight="1">
      <c r="F8" s="10"/>
      <c r="S8" s="14"/>
    </row>
    <row r="9" spans="1:19" ht="12.75" customHeight="1">
      <c r="A9" s="1" t="s">
        <v>22</v>
      </c>
      <c r="B9" s="1" t="s">
        <v>23</v>
      </c>
      <c r="C9" s="1">
        <v>200</v>
      </c>
      <c r="D9" s="8" t="s">
        <v>24</v>
      </c>
      <c r="E9" s="9">
        <v>2.9</v>
      </c>
      <c r="F9" s="10">
        <f>E9*(1+$F$3)</f>
        <v>2.9</v>
      </c>
      <c r="G9" s="13">
        <f>F9*(1-(G$3*G$4))</f>
        <v>2.9</v>
      </c>
      <c r="H9" s="12" t="s">
        <v>25</v>
      </c>
      <c r="I9" s="17">
        <v>3.127</v>
      </c>
      <c r="J9" s="1">
        <f>I9*(1+$J$3)</f>
        <v>3.127</v>
      </c>
      <c r="K9" s="17">
        <f>J9*(1-(K$3*K$4))</f>
        <v>3.127</v>
      </c>
      <c r="O9" s="1">
        <f>L9+M9+N9</f>
        <v>0</v>
      </c>
      <c r="P9" s="21" t="s">
        <v>26</v>
      </c>
      <c r="Q9" s="1">
        <v>200</v>
      </c>
      <c r="S9" s="14"/>
    </row>
    <row r="10" spans="2:19" ht="12.75" customHeight="1">
      <c r="B10" s="1" t="s">
        <v>27</v>
      </c>
      <c r="D10" s="15">
        <f>E9/E10-1</f>
        <v>0.20532003325020765</v>
      </c>
      <c r="E10" s="16">
        <v>2.406</v>
      </c>
      <c r="F10" s="10"/>
      <c r="H10" s="17" t="s">
        <v>28</v>
      </c>
      <c r="I10" s="18"/>
      <c r="J10" s="19"/>
      <c r="K10" s="20"/>
      <c r="S10" s="14"/>
    </row>
    <row r="11" spans="6:19" ht="12.75" customHeight="1">
      <c r="F11" s="10"/>
      <c r="S11" s="14"/>
    </row>
    <row r="12" spans="1:19" ht="12.75" customHeight="1">
      <c r="A12" s="1" t="s">
        <v>29</v>
      </c>
      <c r="B12" s="1" t="s">
        <v>30</v>
      </c>
      <c r="C12" s="1">
        <v>100</v>
      </c>
      <c r="D12" s="8" t="s">
        <v>31</v>
      </c>
      <c r="E12" s="22">
        <v>3.435</v>
      </c>
      <c r="F12" s="10">
        <f>E12*(1+$F$3)</f>
        <v>3.435</v>
      </c>
      <c r="G12" s="17">
        <f>F12*(1-(G$3*G$4))</f>
        <v>3.435</v>
      </c>
      <c r="H12" s="12" t="s">
        <v>32</v>
      </c>
      <c r="I12" s="17">
        <v>3.127</v>
      </c>
      <c r="J12" s="1">
        <f>I12*(1+$J$3)</f>
        <v>3.127</v>
      </c>
      <c r="K12" s="13">
        <f>J12*(1-(K$3*K$4))</f>
        <v>3.127</v>
      </c>
      <c r="L12" s="1">
        <f>43+110</f>
        <v>153</v>
      </c>
      <c r="N12" s="1">
        <v>200</v>
      </c>
      <c r="O12" s="1">
        <f>L12+M12+N12</f>
        <v>353</v>
      </c>
      <c r="S12" s="14"/>
    </row>
    <row r="13" spans="2:19" ht="12.75" customHeight="1">
      <c r="B13" s="1" t="s">
        <v>33</v>
      </c>
      <c r="D13" s="15">
        <f>E12/E13-1</f>
        <v>0.21592920353982303</v>
      </c>
      <c r="E13" s="16">
        <v>2.825</v>
      </c>
      <c r="F13" s="10"/>
      <c r="H13" s="17" t="s">
        <v>34</v>
      </c>
      <c r="I13" s="18"/>
      <c r="J13" s="19"/>
      <c r="K13" s="20"/>
      <c r="S13" s="14"/>
    </row>
    <row r="14" spans="6:19" ht="12.75" customHeight="1">
      <c r="F14" s="10"/>
      <c r="S14" s="14"/>
    </row>
    <row r="15" spans="1:19" ht="12.75" customHeight="1">
      <c r="A15" s="1" t="s">
        <v>35</v>
      </c>
      <c r="B15" s="1" t="s">
        <v>36</v>
      </c>
      <c r="C15" s="1">
        <v>50</v>
      </c>
      <c r="D15" s="8" t="s">
        <v>37</v>
      </c>
      <c r="E15" s="9">
        <v>3.332</v>
      </c>
      <c r="F15" s="10">
        <f>E15*(1+$F$3)</f>
        <v>3.332</v>
      </c>
      <c r="G15" s="13">
        <f>F15*(1-(G$3*G$4))</f>
        <v>3.332</v>
      </c>
      <c r="H15" s="12" t="s">
        <v>38</v>
      </c>
      <c r="I15" s="17">
        <v>3.364</v>
      </c>
      <c r="J15" s="1">
        <f>I15*(1+$J$3)</f>
        <v>3.364</v>
      </c>
      <c r="K15" s="23">
        <f>J15*(1-(K$3*K$4))</f>
        <v>3.364</v>
      </c>
      <c r="L15" s="1">
        <v>75</v>
      </c>
      <c r="O15" s="1">
        <f>L15+M15+N15</f>
        <v>75</v>
      </c>
      <c r="S15" s="14"/>
    </row>
    <row r="16" spans="4:19" ht="12.75" customHeight="1">
      <c r="D16" s="15">
        <f>E15/E16-1</f>
        <v>0.2165023731288791</v>
      </c>
      <c r="E16" s="16">
        <v>2.739</v>
      </c>
      <c r="F16" s="10"/>
      <c r="H16" s="17" t="s">
        <v>39</v>
      </c>
      <c r="I16" s="18"/>
      <c r="J16" s="19"/>
      <c r="K16" s="20"/>
      <c r="S16" s="14"/>
    </row>
    <row r="17" spans="4:19" ht="12.75" customHeight="1">
      <c r="D17" s="17"/>
      <c r="E17" s="17"/>
      <c r="F17" s="10"/>
      <c r="H17" s="17"/>
      <c r="S17" s="14"/>
    </row>
    <row r="18" spans="1:19" ht="12.75" customHeight="1">
      <c r="A18" s="1" t="s">
        <v>40</v>
      </c>
      <c r="B18" s="1" t="s">
        <v>41</v>
      </c>
      <c r="C18" s="1">
        <v>200</v>
      </c>
      <c r="D18" s="8" t="s">
        <v>42</v>
      </c>
      <c r="E18" s="9">
        <v>3.332</v>
      </c>
      <c r="F18" s="10">
        <f>E18*(1+$F$3)</f>
        <v>3.332</v>
      </c>
      <c r="G18" s="17">
        <f>F18*(1-(G$3*G$4))</f>
        <v>3.332</v>
      </c>
      <c r="H18" s="21" t="s">
        <v>43</v>
      </c>
      <c r="I18" s="17">
        <v>2.59</v>
      </c>
      <c r="J18" s="1">
        <f>I18*(1+$J$3)</f>
        <v>2.59</v>
      </c>
      <c r="K18" s="13">
        <f>J18*(1-(K$3*K$4))</f>
        <v>2.59</v>
      </c>
      <c r="M18" s="1">
        <v>35</v>
      </c>
      <c r="O18" s="1">
        <f>L18+M18+N18</f>
        <v>35</v>
      </c>
      <c r="P18" s="21" t="s">
        <v>40</v>
      </c>
      <c r="Q18" s="1">
        <v>200</v>
      </c>
      <c r="S18" s="14"/>
    </row>
    <row r="19" spans="2:19" ht="12.75" customHeight="1">
      <c r="B19" s="1" t="s">
        <v>44</v>
      </c>
      <c r="D19" s="15">
        <f>E18/E19-1</f>
        <v>0.2165023731288791</v>
      </c>
      <c r="E19" s="16">
        <v>2.739</v>
      </c>
      <c r="F19" s="10"/>
      <c r="H19" s="17" t="s">
        <v>45</v>
      </c>
      <c r="I19" s="18"/>
      <c r="J19" s="19"/>
      <c r="K19" s="20"/>
      <c r="S19" s="14"/>
    </row>
    <row r="20" spans="2:19" ht="12.75" customHeight="1">
      <c r="B20" s="1" t="s">
        <v>46</v>
      </c>
      <c r="F20" s="10"/>
      <c r="S20" s="14"/>
    </row>
    <row r="21" spans="2:19" ht="12.75" customHeight="1">
      <c r="B21" s="1" t="s">
        <v>47</v>
      </c>
      <c r="F21" s="10"/>
      <c r="S21" s="14"/>
    </row>
    <row r="22" spans="2:19" ht="12.75" customHeight="1">
      <c r="B22" s="1" t="s">
        <v>48</v>
      </c>
      <c r="D22" s="24"/>
      <c r="F22" s="10"/>
      <c r="S22" s="14"/>
    </row>
    <row r="23" spans="4:19" ht="12.75" customHeight="1">
      <c r="D23" s="17"/>
      <c r="F23" s="10"/>
      <c r="S23" s="14"/>
    </row>
    <row r="24" spans="1:19" ht="12.75" customHeight="1">
      <c r="A24" s="1" t="s">
        <v>49</v>
      </c>
      <c r="B24" s="1" t="s">
        <v>50</v>
      </c>
      <c r="C24" s="1">
        <v>50</v>
      </c>
      <c r="D24" s="8" t="s">
        <v>51</v>
      </c>
      <c r="E24" s="9">
        <v>3.354</v>
      </c>
      <c r="F24" s="10">
        <f>E24*(1+$F$3)</f>
        <v>3.354</v>
      </c>
      <c r="G24" s="13">
        <f>F24*(1-(G$3*G$4))</f>
        <v>3.354</v>
      </c>
      <c r="H24" s="12" t="s">
        <v>52</v>
      </c>
      <c r="I24" s="17">
        <v>3.364</v>
      </c>
      <c r="J24" s="1">
        <f>I24*(1+$J$3)</f>
        <v>3.364</v>
      </c>
      <c r="K24" s="11">
        <f>J24*(1-(K$3*K$4))</f>
        <v>3.364</v>
      </c>
      <c r="N24" s="1">
        <v>84</v>
      </c>
      <c r="O24" s="1">
        <f>L24+M24+N24</f>
        <v>84</v>
      </c>
      <c r="S24" s="14"/>
    </row>
    <row r="25" spans="4:19" ht="12.75" customHeight="1">
      <c r="D25" s="15">
        <f>E24/E25-1</f>
        <v>0.19657509810916873</v>
      </c>
      <c r="E25" s="16">
        <v>2.803</v>
      </c>
      <c r="F25" s="10"/>
      <c r="H25" s="17" t="s">
        <v>53</v>
      </c>
      <c r="I25" s="18"/>
      <c r="J25" s="19"/>
      <c r="K25" s="20"/>
      <c r="S25" s="14"/>
    </row>
    <row r="26" spans="4:19" ht="12.75" customHeight="1">
      <c r="D26" s="17"/>
      <c r="E26" s="17"/>
      <c r="F26" s="10"/>
      <c r="H26" s="17"/>
      <c r="S26" s="14"/>
    </row>
    <row r="27" spans="1:20" ht="12.75" customHeight="1">
      <c r="A27" s="1" t="s">
        <v>54</v>
      </c>
      <c r="B27" s="1" t="s">
        <v>55</v>
      </c>
      <c r="C27" s="1">
        <v>200</v>
      </c>
      <c r="D27" s="8" t="s">
        <v>56</v>
      </c>
      <c r="E27" s="22">
        <v>5.927</v>
      </c>
      <c r="F27" s="10">
        <f>E27*(1+$F$3)</f>
        <v>5.927</v>
      </c>
      <c r="G27" s="17">
        <f>F27*(1-(G$3*G$4))</f>
        <v>5.927</v>
      </c>
      <c r="H27" s="12" t="s">
        <v>57</v>
      </c>
      <c r="I27" s="17">
        <f>3.656*1.065</f>
        <v>3.89364</v>
      </c>
      <c r="J27" s="1">
        <f>I27*(1+$J$3)</f>
        <v>3.89364</v>
      </c>
      <c r="K27" s="13">
        <v>4.066</v>
      </c>
      <c r="O27" s="1">
        <f>L27+M27+N27</f>
        <v>0</v>
      </c>
      <c r="P27" s="21" t="s">
        <v>54</v>
      </c>
      <c r="Q27" s="1">
        <v>150</v>
      </c>
      <c r="R27" s="1">
        <v>300</v>
      </c>
      <c r="S27" s="14">
        <f>K27*R27</f>
        <v>1219.8</v>
      </c>
      <c r="T27" s="1" t="s">
        <v>58</v>
      </c>
    </row>
    <row r="28" spans="4:19" ht="12.75" customHeight="1">
      <c r="D28" s="15">
        <f>E27/E28-1</f>
        <v>0.15671350507416082</v>
      </c>
      <c r="E28" s="16">
        <v>5.124</v>
      </c>
      <c r="F28" s="10"/>
      <c r="H28" s="17" t="s">
        <v>59</v>
      </c>
      <c r="I28" s="18"/>
      <c r="J28" s="19"/>
      <c r="K28" s="20"/>
      <c r="S28" s="14"/>
    </row>
    <row r="29" spans="4:19" ht="12.75" customHeight="1">
      <c r="D29" s="17"/>
      <c r="E29" s="17"/>
      <c r="F29" s="10"/>
      <c r="H29" s="17"/>
      <c r="S29" s="14"/>
    </row>
    <row r="30" spans="1:20" ht="12.75" customHeight="1">
      <c r="A30" s="1" t="s">
        <v>60</v>
      </c>
      <c r="B30" s="1" t="s">
        <v>61</v>
      </c>
      <c r="C30" s="1">
        <v>200</v>
      </c>
      <c r="D30" s="8" t="s">
        <v>62</v>
      </c>
      <c r="E30" s="9">
        <v>3.354</v>
      </c>
      <c r="F30" s="10">
        <f>E30*(1+$F$3)</f>
        <v>3.354</v>
      </c>
      <c r="G30" s="17">
        <f>F30*(1-(G$3*G$4))</f>
        <v>3.354</v>
      </c>
      <c r="H30" s="12" t="s">
        <v>63</v>
      </c>
      <c r="I30" s="17">
        <v>2.614</v>
      </c>
      <c r="J30" s="1">
        <f>I30*(1+$J$3)</f>
        <v>2.614</v>
      </c>
      <c r="K30" s="13">
        <f>J30*(1-(K$3*K$4))</f>
        <v>2.614</v>
      </c>
      <c r="L30" s="1">
        <f>142+70+76</f>
        <v>288</v>
      </c>
      <c r="O30" s="1">
        <f>L30+M30+N30</f>
        <v>288</v>
      </c>
      <c r="R30" s="1">
        <v>400</v>
      </c>
      <c r="S30" s="14">
        <f>K30*R30</f>
        <v>1045.6</v>
      </c>
      <c r="T30" s="1" t="s">
        <v>64</v>
      </c>
    </row>
    <row r="31" spans="2:19" ht="12.75" customHeight="1">
      <c r="B31" s="1" t="s">
        <v>65</v>
      </c>
      <c r="D31" s="15">
        <f>E30/E31-1</f>
        <v>0.19657509810916873</v>
      </c>
      <c r="E31" s="16">
        <v>2.803</v>
      </c>
      <c r="F31" s="10"/>
      <c r="H31" s="17" t="s">
        <v>66</v>
      </c>
      <c r="J31" s="19"/>
      <c r="K31" s="20"/>
      <c r="L31" s="20"/>
      <c r="S31" s="14"/>
    </row>
    <row r="32" spans="2:19" ht="12.75" customHeight="1">
      <c r="B32" s="1" t="s">
        <v>67</v>
      </c>
      <c r="F32" s="10"/>
      <c r="S32" s="14"/>
    </row>
    <row r="33" spans="2:19" ht="12.75" customHeight="1">
      <c r="B33" s="1" t="s">
        <v>68</v>
      </c>
      <c r="F33" s="10"/>
      <c r="S33" s="14"/>
    </row>
    <row r="34" spans="6:19" ht="12.75" customHeight="1">
      <c r="F34" s="10"/>
      <c r="S34" s="14"/>
    </row>
    <row r="35" spans="1:19" ht="12.75" customHeight="1">
      <c r="A35" s="1" t="s">
        <v>69</v>
      </c>
      <c r="B35" s="1" t="s">
        <v>70</v>
      </c>
      <c r="C35" s="1">
        <v>100</v>
      </c>
      <c r="D35" s="8" t="s">
        <v>71</v>
      </c>
      <c r="E35" s="9">
        <v>4.153</v>
      </c>
      <c r="F35" s="10">
        <f>E35*(1+$F$3)</f>
        <v>4.153</v>
      </c>
      <c r="G35" s="13">
        <f>F35*(1-(G$3*G$4))</f>
        <v>4.153</v>
      </c>
      <c r="S35" s="14"/>
    </row>
    <row r="36" spans="4:19" ht="12.75" customHeight="1">
      <c r="D36" s="15">
        <f>E35/E36-1</f>
        <v>0.22039377020276207</v>
      </c>
      <c r="E36" s="25">
        <v>3.403</v>
      </c>
      <c r="F36" s="10"/>
      <c r="S36" s="14"/>
    </row>
    <row r="37" spans="6:19" ht="12.75" customHeight="1">
      <c r="F37" s="10"/>
      <c r="S37" s="14"/>
    </row>
    <row r="38" spans="1:20" ht="12.75" customHeight="1">
      <c r="A38" s="1" t="s">
        <v>72</v>
      </c>
      <c r="B38" s="1" t="s">
        <v>73</v>
      </c>
      <c r="D38" s="8" t="s">
        <v>74</v>
      </c>
      <c r="E38" s="22">
        <v>6.446</v>
      </c>
      <c r="F38" s="10">
        <f>E38*(1+$F$3)</f>
        <v>6.446</v>
      </c>
      <c r="G38" s="17">
        <f>F38*(1-(G$3*G$4))</f>
        <v>6.446</v>
      </c>
      <c r="H38" s="12" t="s">
        <v>75</v>
      </c>
      <c r="I38" s="26">
        <v>3.55</v>
      </c>
      <c r="J38" s="1">
        <f>I38*(1+$J$3)</f>
        <v>3.55</v>
      </c>
      <c r="K38" s="13">
        <v>4.804</v>
      </c>
      <c r="O38" s="1">
        <f>L38+M38+N38</f>
        <v>0</v>
      </c>
      <c r="P38" s="21" t="s">
        <v>72</v>
      </c>
      <c r="Q38" s="1">
        <v>100</v>
      </c>
      <c r="S38" s="14"/>
      <c r="T38" s="1" t="s">
        <v>76</v>
      </c>
    </row>
    <row r="39" spans="4:19" ht="12.75" customHeight="1">
      <c r="D39" s="15">
        <f>E38/E39-1</f>
        <v>0.16817687567959405</v>
      </c>
      <c r="E39" s="16">
        <v>5.518</v>
      </c>
      <c r="F39" s="10"/>
      <c r="H39" s="17" t="s">
        <v>77</v>
      </c>
      <c r="J39" s="19"/>
      <c r="K39" s="20"/>
      <c r="S39" s="14"/>
    </row>
    <row r="40" spans="4:19" ht="12.75" customHeight="1">
      <c r="D40" s="17"/>
      <c r="F40" s="10"/>
      <c r="S40" s="14"/>
    </row>
    <row r="41" spans="1:19" ht="12.75" customHeight="1">
      <c r="A41" s="1" t="s">
        <v>69</v>
      </c>
      <c r="B41" s="1" t="s">
        <v>78</v>
      </c>
      <c r="C41" s="1">
        <v>200</v>
      </c>
      <c r="D41" s="8" t="s">
        <v>71</v>
      </c>
      <c r="E41" s="9">
        <v>4.153</v>
      </c>
      <c r="F41" s="10">
        <f>E41*(1+$F$3)</f>
        <v>4.153</v>
      </c>
      <c r="G41" s="17">
        <f>F41*(1-(G$3*G$4))</f>
        <v>4.153</v>
      </c>
      <c r="H41" s="12" t="s">
        <v>79</v>
      </c>
      <c r="I41" s="17">
        <v>3.55</v>
      </c>
      <c r="J41" s="1">
        <f>I41*(1+$J$3)</f>
        <v>3.55</v>
      </c>
      <c r="K41" s="13">
        <f>J41*(1-(K$3*K$4))</f>
        <v>3.55</v>
      </c>
      <c r="L41" s="1">
        <v>100</v>
      </c>
      <c r="O41" s="1">
        <f>L41+M41+N41</f>
        <v>100</v>
      </c>
      <c r="P41" s="21" t="s">
        <v>69</v>
      </c>
      <c r="Q41" s="1">
        <v>200</v>
      </c>
      <c r="S41" s="14"/>
    </row>
    <row r="42" spans="2:19" ht="12.75" customHeight="1">
      <c r="B42" s="1" t="s">
        <v>80</v>
      </c>
      <c r="D42" s="15">
        <f>E41/E42-1</f>
        <v>0.22039377020276207</v>
      </c>
      <c r="E42" s="16">
        <v>3.403</v>
      </c>
      <c r="F42" s="10"/>
      <c r="H42" s="17" t="s">
        <v>81</v>
      </c>
      <c r="J42" s="19"/>
      <c r="K42" s="20"/>
      <c r="L42" s="20"/>
      <c r="S42" s="14"/>
    </row>
    <row r="43" spans="2:19" ht="12.75" customHeight="1">
      <c r="B43" s="1" t="s">
        <v>82</v>
      </c>
      <c r="D43" s="8" t="s">
        <v>83</v>
      </c>
      <c r="E43" s="9">
        <v>3.6870000000000003</v>
      </c>
      <c r="F43" s="10">
        <f>E43*(1+$F$3)</f>
        <v>3.6870000000000003</v>
      </c>
      <c r="G43" s="11">
        <f>F43*(1-(G$3*G$4))</f>
        <v>3.6870000000000003</v>
      </c>
      <c r="K43" s="17"/>
      <c r="L43" s="1">
        <f>(E42-D44/1000)*500</f>
        <v>1701.3925864909393</v>
      </c>
      <c r="S43" s="14"/>
    </row>
    <row r="44" spans="2:19" ht="12.75" customHeight="1">
      <c r="B44" s="1" t="s">
        <v>84</v>
      </c>
      <c r="D44" s="15">
        <f>E43/E44-1</f>
        <v>0.21482701812191096</v>
      </c>
      <c r="E44" s="16">
        <v>3.035</v>
      </c>
      <c r="F44" s="10"/>
      <c r="S44" s="14"/>
    </row>
    <row r="45" spans="2:19" ht="12.75" customHeight="1">
      <c r="B45" s="1" t="s">
        <v>85</v>
      </c>
      <c r="D45" s="24"/>
      <c r="F45" s="10"/>
      <c r="G45" s="17"/>
      <c r="K45" s="17"/>
      <c r="S45" s="14"/>
    </row>
    <row r="46" spans="1:19" ht="12.75" customHeight="1">
      <c r="A46" s="1" t="s">
        <v>86</v>
      </c>
      <c r="B46" s="1" t="s">
        <v>87</v>
      </c>
      <c r="D46" s="17"/>
      <c r="F46" s="10"/>
      <c r="S46" s="14"/>
    </row>
    <row r="47" spans="6:19" ht="12.75" customHeight="1">
      <c r="F47" s="10"/>
      <c r="S47" s="14"/>
    </row>
    <row r="48" spans="1:19" ht="12.75" customHeight="1">
      <c r="A48" s="1" t="s">
        <v>88</v>
      </c>
      <c r="B48" s="1" t="s">
        <v>89</v>
      </c>
      <c r="C48" s="1">
        <v>50</v>
      </c>
      <c r="D48" s="8" t="s">
        <v>90</v>
      </c>
      <c r="E48" s="22">
        <v>6.483</v>
      </c>
      <c r="F48" s="10">
        <f>E48*(1+$F$3)</f>
        <v>6.483</v>
      </c>
      <c r="G48" s="17">
        <f>F48*(1-(G$3*G$4))</f>
        <v>6.483</v>
      </c>
      <c r="H48" s="12" t="s">
        <v>91</v>
      </c>
      <c r="I48" s="17">
        <v>4.804</v>
      </c>
      <c r="J48" s="1">
        <f>I48*(1+$J$3)</f>
        <v>4.804</v>
      </c>
      <c r="K48" s="13">
        <f>J48*(1-(K$3*K$4))</f>
        <v>4.804</v>
      </c>
      <c r="N48" s="1">
        <v>200</v>
      </c>
      <c r="O48" s="1">
        <f>L48+M48+N48</f>
        <v>200</v>
      </c>
      <c r="S48" s="14"/>
    </row>
    <row r="49" spans="4:19" ht="12.75" customHeight="1">
      <c r="D49" s="15">
        <f>E48/E49-1</f>
        <v>0.16831861596684083</v>
      </c>
      <c r="E49" s="16">
        <v>5.549</v>
      </c>
      <c r="F49" s="10"/>
      <c r="H49" s="17" t="s">
        <v>92</v>
      </c>
      <c r="I49" s="18"/>
      <c r="J49" s="19"/>
      <c r="K49" s="20"/>
      <c r="S49" s="14"/>
    </row>
    <row r="50" spans="6:19" ht="12.75" customHeight="1">
      <c r="F50" s="10"/>
      <c r="S50" s="14"/>
    </row>
    <row r="51" spans="1:19" ht="12.75" customHeight="1">
      <c r="A51" s="1" t="s">
        <v>93</v>
      </c>
      <c r="B51" s="1" t="s">
        <v>94</v>
      </c>
      <c r="C51" s="1">
        <v>100</v>
      </c>
      <c r="D51" s="8" t="s">
        <v>95</v>
      </c>
      <c r="E51" s="22">
        <v>10.084</v>
      </c>
      <c r="F51" s="10">
        <f>E51*(1+$F$3)</f>
        <v>10.084</v>
      </c>
      <c r="G51" s="13">
        <f>F51*(1-(G$3*G$4))</f>
        <v>10.084</v>
      </c>
      <c r="K51" s="17"/>
      <c r="O51" s="1">
        <f>L51+M51+N51</f>
        <v>0</v>
      </c>
      <c r="S51" s="14"/>
    </row>
    <row r="52" spans="1:19" ht="12.75" customHeight="1">
      <c r="A52" s="1" t="s">
        <v>96</v>
      </c>
      <c r="D52" s="15">
        <f>E51/E52-1</f>
        <v>0.18803016022620178</v>
      </c>
      <c r="E52" s="16">
        <v>8.488</v>
      </c>
      <c r="F52" s="10"/>
      <c r="S52" s="14"/>
    </row>
    <row r="53" spans="6:19" ht="12.75" customHeight="1">
      <c r="F53" s="10"/>
      <c r="S53" s="14"/>
    </row>
    <row r="54" spans="1:20" ht="12.75" customHeight="1">
      <c r="A54" s="1" t="s">
        <v>97</v>
      </c>
      <c r="B54" s="1" t="s">
        <v>98</v>
      </c>
      <c r="C54" s="1">
        <v>200</v>
      </c>
      <c r="D54" s="8" t="s">
        <v>99</v>
      </c>
      <c r="E54" s="9">
        <v>3.872</v>
      </c>
      <c r="F54" s="10">
        <f>E54*(1+$F$3)</f>
        <v>3.872</v>
      </c>
      <c r="G54" s="17">
        <f>F54*(1-(G$3*G$4))</f>
        <v>3.872</v>
      </c>
      <c r="H54" s="12" t="s">
        <v>100</v>
      </c>
      <c r="I54" s="17">
        <v>3.612</v>
      </c>
      <c r="J54" s="1">
        <f>I54*(1+$J$3)</f>
        <v>3.612</v>
      </c>
      <c r="K54" s="13">
        <f>J54*(1-(K$3*K$4))</f>
        <v>3.612</v>
      </c>
      <c r="L54" s="1">
        <f>130+76</f>
        <v>206</v>
      </c>
      <c r="N54" s="1">
        <f>22*20</f>
        <v>440</v>
      </c>
      <c r="O54" s="1">
        <f>L54+M54+N54</f>
        <v>646</v>
      </c>
      <c r="R54" s="1">
        <v>300</v>
      </c>
      <c r="S54" s="14">
        <f>K54*R54</f>
        <v>1083.6000000000001</v>
      </c>
      <c r="T54" s="1" t="s">
        <v>101</v>
      </c>
    </row>
    <row r="55" spans="2:19" ht="12.75" customHeight="1">
      <c r="B55" s="1" t="s">
        <v>102</v>
      </c>
      <c r="D55" s="15">
        <f>E54/E55-1</f>
        <v>0.20886668748048698</v>
      </c>
      <c r="E55" s="16">
        <v>3.203</v>
      </c>
      <c r="F55" s="10"/>
      <c r="H55" s="17" t="s">
        <v>103</v>
      </c>
      <c r="J55" s="19"/>
      <c r="K55" s="20"/>
      <c r="L55" s="20"/>
      <c r="S55" s="14"/>
    </row>
    <row r="56" spans="2:19" ht="12.75" customHeight="1">
      <c r="B56" s="1" t="s">
        <v>104</v>
      </c>
      <c r="F56" s="10"/>
      <c r="S56" s="14"/>
    </row>
    <row r="57" spans="1:19" ht="12.75" customHeight="1">
      <c r="A57" s="1" t="s">
        <v>105</v>
      </c>
      <c r="B57" s="1" t="s">
        <v>106</v>
      </c>
      <c r="F57" s="10"/>
      <c r="S57" s="14"/>
    </row>
    <row r="58" spans="6:19" ht="12.75" customHeight="1">
      <c r="F58" s="10"/>
      <c r="S58" s="14"/>
    </row>
    <row r="59" spans="1:19" ht="12.75" customHeight="1">
      <c r="A59" s="1" t="s">
        <v>107</v>
      </c>
      <c r="D59" s="12" t="s">
        <v>108</v>
      </c>
      <c r="E59" s="22">
        <v>4.124</v>
      </c>
      <c r="F59" s="10">
        <f>E59*(1+$F$3)</f>
        <v>4.124</v>
      </c>
      <c r="G59" s="13">
        <f>F59*(1-(G$3*G$4))</f>
        <v>4.124</v>
      </c>
      <c r="H59" s="27" t="s">
        <v>109</v>
      </c>
      <c r="I59" s="17">
        <v>4.431</v>
      </c>
      <c r="J59" s="1">
        <f>I59*(1+$J$3)</f>
        <v>4.431</v>
      </c>
      <c r="K59" s="17">
        <f>J59*(1-(K$3*K$4))</f>
        <v>4.431</v>
      </c>
      <c r="L59" s="1">
        <v>17</v>
      </c>
      <c r="O59" s="1">
        <f>L59+M59+N59</f>
        <v>17</v>
      </c>
      <c r="S59" s="14"/>
    </row>
    <row r="60" spans="4:19" ht="12.75" customHeight="1">
      <c r="D60" s="15">
        <f>E59/E60-1</f>
        <v>0.2328849028400597</v>
      </c>
      <c r="E60" s="16">
        <v>3.345</v>
      </c>
      <c r="F60" s="10"/>
      <c r="H60" s="17" t="s">
        <v>110</v>
      </c>
      <c r="I60" s="18"/>
      <c r="J60" s="19"/>
      <c r="K60" s="20"/>
      <c r="S60" s="14"/>
    </row>
    <row r="61" spans="4:19" ht="12.75" customHeight="1">
      <c r="D61" s="17"/>
      <c r="F61" s="10"/>
      <c r="H61" s="12" t="s">
        <v>111</v>
      </c>
      <c r="I61" s="17">
        <v>4.142</v>
      </c>
      <c r="J61" s="1">
        <f>I61*(1+$J$3)</f>
        <v>4.142</v>
      </c>
      <c r="K61" s="23">
        <f>J61*(1-(K$3*K$4))</f>
        <v>4.142</v>
      </c>
      <c r="S61" s="14"/>
    </row>
    <row r="62" spans="4:19" ht="12.75" customHeight="1">
      <c r="D62" s="17"/>
      <c r="E62" s="17"/>
      <c r="F62" s="10"/>
      <c r="H62" s="17" t="s">
        <v>112</v>
      </c>
      <c r="I62" s="18"/>
      <c r="J62" s="19"/>
      <c r="K62" s="20"/>
      <c r="S62" s="14"/>
    </row>
    <row r="63" spans="6:19" ht="12.75" customHeight="1">
      <c r="F63" s="10"/>
      <c r="S63" s="14"/>
    </row>
    <row r="64" spans="1:20" ht="12.75" customHeight="1">
      <c r="A64" s="1" t="s">
        <v>113</v>
      </c>
      <c r="B64" s="1" t="s">
        <v>114</v>
      </c>
      <c r="C64" s="1">
        <v>300</v>
      </c>
      <c r="D64" s="8" t="s">
        <v>115</v>
      </c>
      <c r="E64" s="22">
        <v>4.134</v>
      </c>
      <c r="F64" s="10">
        <f>E64*(1+$F$3)</f>
        <v>4.134</v>
      </c>
      <c r="G64" s="13">
        <f>F64*(1-(G$3*G$4))</f>
        <v>4.134</v>
      </c>
      <c r="H64" s="12" t="s">
        <v>116</v>
      </c>
      <c r="I64" s="17">
        <v>4.115</v>
      </c>
      <c r="J64" s="1">
        <f>I64*(1+$J$3)</f>
        <v>4.115</v>
      </c>
      <c r="K64" s="17">
        <f>J64*(1-(K$3*K$4))</f>
        <v>4.115</v>
      </c>
      <c r="L64" s="1">
        <f>94+105+90+130</f>
        <v>419</v>
      </c>
      <c r="N64" s="1">
        <f>20*14</f>
        <v>280</v>
      </c>
      <c r="O64" s="1">
        <f>L64+M64+N64</f>
        <v>699</v>
      </c>
      <c r="R64" s="1">
        <v>1000</v>
      </c>
      <c r="S64" s="14">
        <f>K64*R64</f>
        <v>4115</v>
      </c>
      <c r="T64" s="1" t="s">
        <v>117</v>
      </c>
    </row>
    <row r="65" spans="2:19" ht="12.75" customHeight="1">
      <c r="B65" s="1" t="s">
        <v>118</v>
      </c>
      <c r="D65" s="15">
        <f>E64/E65-1</f>
        <v>0.22525192649673986</v>
      </c>
      <c r="E65" s="16">
        <v>3.374</v>
      </c>
      <c r="F65" s="10"/>
      <c r="H65" s="17" t="s">
        <v>119</v>
      </c>
      <c r="I65" s="18"/>
      <c r="J65" s="19"/>
      <c r="K65" s="20"/>
      <c r="M65" s="1">
        <f>(D65/1000-E65)*600</f>
        <v>-2024.2648488441018</v>
      </c>
      <c r="S65" s="14"/>
    </row>
    <row r="66" spans="2:19" ht="12.75" customHeight="1">
      <c r="B66" s="1" t="s">
        <v>120</v>
      </c>
      <c r="D66" s="8" t="s">
        <v>121</v>
      </c>
      <c r="E66" s="22">
        <v>4.306</v>
      </c>
      <c r="F66" s="10">
        <f>E66*(1+$F$3)</f>
        <v>4.306</v>
      </c>
      <c r="G66" s="11">
        <f>F66*(1-(G$3*G$4))</f>
        <v>4.306</v>
      </c>
      <c r="K66" s="17"/>
      <c r="S66" s="14"/>
    </row>
    <row r="67" spans="1:19" ht="12.75" customHeight="1">
      <c r="A67" s="1" t="s">
        <v>122</v>
      </c>
      <c r="B67" s="1" t="s">
        <v>123</v>
      </c>
      <c r="D67" s="15">
        <f>E66/E67-1</f>
        <v>0.22503556187766716</v>
      </c>
      <c r="E67" s="16">
        <v>3.515</v>
      </c>
      <c r="F67" s="10"/>
      <c r="S67" s="14"/>
    </row>
    <row r="68" spans="2:19" ht="12.75" customHeight="1">
      <c r="B68" s="1" t="s">
        <v>124</v>
      </c>
      <c r="F68" s="10"/>
      <c r="S68" s="14"/>
    </row>
    <row r="69" spans="6:19" ht="12.75" customHeight="1">
      <c r="F69" s="10"/>
      <c r="S69" s="14"/>
    </row>
    <row r="70" spans="1:19" ht="12.75" customHeight="1">
      <c r="A70" s="1" t="s">
        <v>125</v>
      </c>
      <c r="B70" s="1" t="s">
        <v>126</v>
      </c>
      <c r="D70" s="8" t="s">
        <v>127</v>
      </c>
      <c r="E70" s="21">
        <v>9.679</v>
      </c>
      <c r="F70" s="10">
        <f>E70*(1+$F$3)</f>
        <v>9.679</v>
      </c>
      <c r="G70" s="13">
        <f>F70*(1-(G$3*G$4))</f>
        <v>9.679</v>
      </c>
      <c r="H70" s="1" t="s">
        <v>128</v>
      </c>
      <c r="I70" s="1">
        <v>5.766</v>
      </c>
      <c r="J70" s="1">
        <f>I70*(1+$J$3)</f>
        <v>5.766</v>
      </c>
      <c r="K70" s="23">
        <f>J70*(1-(K$3*K$4))</f>
        <v>5.766</v>
      </c>
      <c r="S70" s="14"/>
    </row>
    <row r="71" spans="4:19" ht="12.75" customHeight="1">
      <c r="D71" s="15">
        <f>E70/E71-1</f>
        <v>0.1760631834750912</v>
      </c>
      <c r="E71" s="1">
        <v>8.23</v>
      </c>
      <c r="F71" s="10"/>
      <c r="H71" s="17" t="s">
        <v>129</v>
      </c>
      <c r="S71" s="14"/>
    </row>
    <row r="72" spans="6:19" ht="12.75" customHeight="1">
      <c r="F72" s="10"/>
      <c r="S72" s="14"/>
    </row>
    <row r="73" spans="1:19" ht="12.75" customHeight="1">
      <c r="A73" s="1" t="s">
        <v>130</v>
      </c>
      <c r="B73" s="1" t="s">
        <v>131</v>
      </c>
      <c r="C73" s="1">
        <v>200</v>
      </c>
      <c r="D73" s="8" t="s">
        <v>132</v>
      </c>
      <c r="E73" s="22">
        <v>8.917</v>
      </c>
      <c r="F73" s="10">
        <f>E73*(1+$F$3)</f>
        <v>8.917</v>
      </c>
      <c r="G73" s="13">
        <f>F73*(1-(G$3*G$4))</f>
        <v>8.917</v>
      </c>
      <c r="H73" s="12" t="s">
        <v>133</v>
      </c>
      <c r="I73" s="17">
        <v>12.094</v>
      </c>
      <c r="J73" s="1">
        <f>I73*(1+$J$3)</f>
        <v>12.094</v>
      </c>
      <c r="K73" s="17">
        <f>J73*(1-(K$3*K$4))</f>
        <v>12.094</v>
      </c>
      <c r="L73" s="1">
        <f>121+78</f>
        <v>199</v>
      </c>
      <c r="O73" s="1">
        <f>L73+M73+N73</f>
        <v>199</v>
      </c>
      <c r="S73" s="14"/>
    </row>
    <row r="74" spans="1:19" ht="12.75" customHeight="1">
      <c r="A74" s="1" t="s">
        <v>96</v>
      </c>
      <c r="D74" s="15">
        <f>E73/E74-1</f>
        <v>0.1846685266374386</v>
      </c>
      <c r="E74" s="16">
        <v>7.527</v>
      </c>
      <c r="F74" s="10"/>
      <c r="H74" s="17" t="s">
        <v>134</v>
      </c>
      <c r="I74" s="18"/>
      <c r="J74" s="19"/>
      <c r="K74" s="20"/>
      <c r="S74" s="14"/>
    </row>
    <row r="75" spans="4:19" ht="12.75" customHeight="1">
      <c r="D75" s="8" t="s">
        <v>135</v>
      </c>
      <c r="E75" s="22">
        <v>10.393</v>
      </c>
      <c r="F75" s="10">
        <f>E75-E73</f>
        <v>1.4760000000000009</v>
      </c>
      <c r="H75" s="17"/>
      <c r="I75" s="18"/>
      <c r="J75" s="19"/>
      <c r="K75" s="20"/>
      <c r="S75" s="14"/>
    </row>
    <row r="76" spans="4:19" ht="12.75" customHeight="1">
      <c r="D76" s="15">
        <f>E75/E76-1</f>
        <v>0.380762588016474</v>
      </c>
      <c r="E76" s="16">
        <v>7.527</v>
      </c>
      <c r="F76" s="28">
        <f>E73/E75</f>
        <v>0.8579813335899162</v>
      </c>
      <c r="H76" s="17"/>
      <c r="I76" s="18"/>
      <c r="J76" s="19"/>
      <c r="K76" s="20"/>
      <c r="S76" s="14"/>
    </row>
    <row r="77" spans="6:19" ht="12.75" customHeight="1">
      <c r="F77" s="10"/>
      <c r="S77" s="14"/>
    </row>
    <row r="78" spans="1:19" ht="12.75" customHeight="1">
      <c r="A78" s="1" t="s">
        <v>136</v>
      </c>
      <c r="B78" s="1" t="s">
        <v>137</v>
      </c>
      <c r="D78" s="8" t="s">
        <v>138</v>
      </c>
      <c r="E78" s="22">
        <v>10.27</v>
      </c>
      <c r="F78" s="10">
        <f>E80-E78</f>
        <v>1.479000000000001</v>
      </c>
      <c r="G78" s="1">
        <f>E80*F76</f>
        <v>10.080422688347927</v>
      </c>
      <c r="S78" s="14"/>
    </row>
    <row r="79" spans="1:19" ht="12.75" customHeight="1">
      <c r="A79" s="1" t="s">
        <v>96</v>
      </c>
      <c r="D79" s="15">
        <f>E78/E79-1</f>
        <v>0.049351180136916195</v>
      </c>
      <c r="E79" s="16">
        <v>9.787</v>
      </c>
      <c r="F79" s="28">
        <f>E78/E80</f>
        <v>0.8741169461230742</v>
      </c>
      <c r="S79" s="14"/>
    </row>
    <row r="80" spans="1:19" ht="12.75" customHeight="1">
      <c r="A80"/>
      <c r="B80"/>
      <c r="D80" s="8" t="s">
        <v>139</v>
      </c>
      <c r="E80" s="22">
        <v>11.749</v>
      </c>
      <c r="F80" s="10">
        <f>E80*(1+$F$3)</f>
        <v>11.749</v>
      </c>
      <c r="G80" s="13">
        <f>F80*(1-(G$3*G$4))</f>
        <v>11.749</v>
      </c>
      <c r="H80" s="12" t="s">
        <v>140</v>
      </c>
      <c r="I80" s="17">
        <v>13.376</v>
      </c>
      <c r="J80" s="1">
        <f>I80*(1+$J$3)</f>
        <v>13.376</v>
      </c>
      <c r="K80" s="17">
        <f>J80*(1-(K$3*K$4))</f>
        <v>13.376</v>
      </c>
      <c r="O80" s="1">
        <f>L80+M80+N80</f>
        <v>0</v>
      </c>
      <c r="S80" s="14"/>
    </row>
    <row r="81" spans="1:19" ht="12.75" customHeight="1">
      <c r="A81"/>
      <c r="B81"/>
      <c r="D81" s="15">
        <f>E80/E81-1</f>
        <v>0.20047001123939912</v>
      </c>
      <c r="E81" s="16">
        <v>9.787</v>
      </c>
      <c r="F81" s="10"/>
      <c r="H81" s="17" t="s">
        <v>141</v>
      </c>
      <c r="I81" s="18"/>
      <c r="J81" s="19"/>
      <c r="K81" s="20"/>
      <c r="M81" s="1">
        <f>((G80/1000)/K80-1)*100</f>
        <v>-99.91216357655503</v>
      </c>
      <c r="S81" s="14"/>
    </row>
    <row r="82" spans="5:19" ht="12.75" customHeight="1">
      <c r="E82" s="17"/>
      <c r="F82" s="10"/>
      <c r="H82" s="17"/>
      <c r="S82" s="14"/>
    </row>
    <row r="83" spans="1:19" ht="12.75" customHeight="1">
      <c r="A83" s="1" t="s">
        <v>142</v>
      </c>
      <c r="B83" s="1" t="s">
        <v>143</v>
      </c>
      <c r="D83" s="8" t="s">
        <v>144</v>
      </c>
      <c r="E83" s="22">
        <v>5.698</v>
      </c>
      <c r="F83" s="10">
        <f>E83*(1+$F$3)</f>
        <v>5.698</v>
      </c>
      <c r="G83" s="13">
        <f>F83*(1-(G$3*G$4))</f>
        <v>5.698</v>
      </c>
      <c r="H83" s="12" t="s">
        <v>145</v>
      </c>
      <c r="I83" s="17">
        <v>5.766</v>
      </c>
      <c r="J83" s="1">
        <f>I83*(1+$J$3)</f>
        <v>5.766</v>
      </c>
      <c r="K83" s="17">
        <f>J83*(1-(K$3*K$4))</f>
        <v>5.766</v>
      </c>
      <c r="S83" s="14"/>
    </row>
    <row r="84" spans="4:19" ht="12.75" customHeight="1">
      <c r="D84" s="15">
        <f>E83/E84-1</f>
        <v>0.2167414050822123</v>
      </c>
      <c r="E84" s="16">
        <v>4.683</v>
      </c>
      <c r="F84" s="10"/>
      <c r="H84" s="17" t="s">
        <v>146</v>
      </c>
      <c r="I84" s="18"/>
      <c r="J84" s="19"/>
      <c r="K84" s="20"/>
      <c r="S84" s="14"/>
    </row>
    <row r="85" ht="12.75" customHeight="1">
      <c r="S85" s="14"/>
    </row>
    <row r="86" spans="1:19" ht="12.75" customHeight="1">
      <c r="A86" s="1" t="s">
        <v>147</v>
      </c>
      <c r="B86" s="1" t="s">
        <v>148</v>
      </c>
      <c r="D86" s="29" t="s">
        <v>149</v>
      </c>
      <c r="E86" s="22">
        <v>13.981</v>
      </c>
      <c r="F86" s="1">
        <f>E86*(1+$F$3)</f>
        <v>13.981</v>
      </c>
      <c r="G86" s="13">
        <f>F86*(1-(G$3*G$4))</f>
        <v>13.981</v>
      </c>
      <c r="H86" s="12" t="s">
        <v>150</v>
      </c>
      <c r="I86" s="17">
        <v>13.061</v>
      </c>
      <c r="J86" s="1">
        <f>I86*(1+$J$3)</f>
        <v>13.061</v>
      </c>
      <c r="K86" s="17">
        <f>J86*(1-(K$3*K$4))</f>
        <v>13.061</v>
      </c>
      <c r="S86" s="14"/>
    </row>
    <row r="87" spans="4:19" ht="12.75" customHeight="1">
      <c r="D87" s="15">
        <f>E86/E87-1</f>
        <v>0.22899085794655427</v>
      </c>
      <c r="E87" s="16">
        <v>11.376</v>
      </c>
      <c r="F87" s="10"/>
      <c r="H87" s="17" t="s">
        <v>151</v>
      </c>
      <c r="I87" s="18"/>
      <c r="J87" s="19"/>
      <c r="K87" s="20"/>
      <c r="S87" s="14"/>
    </row>
    <row r="88" spans="5:19" ht="12.75" customHeight="1">
      <c r="E88" s="30"/>
      <c r="F88" s="10"/>
      <c r="G88" s="17"/>
      <c r="H88" s="17"/>
      <c r="S88" s="14"/>
    </row>
    <row r="89" spans="4:19" ht="12.75" customHeight="1">
      <c r="D89" s="1" t="s">
        <v>152</v>
      </c>
      <c r="E89" s="22">
        <v>10.852</v>
      </c>
      <c r="F89" s="10">
        <f>E89*(1+$F$3)</f>
        <v>10.852</v>
      </c>
      <c r="G89" s="31">
        <f>F89*(1-(G$3*G$4))</f>
        <v>10.852</v>
      </c>
      <c r="H89" s="17"/>
      <c r="S89" s="14"/>
    </row>
    <row r="90" spans="4:19" ht="12.75" customHeight="1">
      <c r="D90" s="15">
        <f>E89/E90-1</f>
        <v>0.18046339606222128</v>
      </c>
      <c r="E90" s="16">
        <v>9.193</v>
      </c>
      <c r="F90" s="10"/>
      <c r="G90" s="17"/>
      <c r="H90" s="17"/>
      <c r="S90" s="14"/>
    </row>
    <row r="91" spans="5:19" ht="12.75" customHeight="1">
      <c r="E91" s="17"/>
      <c r="F91" s="10"/>
      <c r="H91" s="17"/>
      <c r="S91" s="14"/>
    </row>
    <row r="92" spans="1:19" ht="12.75" customHeight="1">
      <c r="A92" s="1" t="s">
        <v>153</v>
      </c>
      <c r="D92" s="32" t="s">
        <v>154</v>
      </c>
      <c r="E92" s="26">
        <v>4.062</v>
      </c>
      <c r="F92" s="10">
        <f>E92*(1+$F$3)</f>
        <v>4.062</v>
      </c>
      <c r="G92" s="17">
        <f>F92*(1-(G$3*G$4))</f>
        <v>4.062</v>
      </c>
      <c r="H92" s="12" t="s">
        <v>155</v>
      </c>
      <c r="I92" s="1">
        <v>2.746</v>
      </c>
      <c r="J92" s="1">
        <f>I92*(1+$J$3)</f>
        <v>2.746</v>
      </c>
      <c r="K92" s="13">
        <f>J92*(1-(K$3*K$4))</f>
        <v>2.746</v>
      </c>
      <c r="S92" s="14"/>
    </row>
    <row r="93" spans="1:19" ht="12.75" customHeight="1">
      <c r="A93" s="1" t="s">
        <v>156</v>
      </c>
      <c r="D93" s="32" t="s">
        <v>157</v>
      </c>
      <c r="E93" s="17">
        <v>4.062</v>
      </c>
      <c r="F93" s="10">
        <f>E93*(1+$F$3)</f>
        <v>4.062</v>
      </c>
      <c r="G93" s="11">
        <f>F93*(1-(G$3*G$4))</f>
        <v>4.062</v>
      </c>
      <c r="H93" s="12" t="s">
        <v>158</v>
      </c>
      <c r="I93" s="1">
        <v>3.2439999999999998</v>
      </c>
      <c r="J93" s="1">
        <f>I93*(1+$J$3)</f>
        <v>3.2439999999999998</v>
      </c>
      <c r="K93" s="13">
        <f>J93*(1-(K$3*K$4))</f>
        <v>3.2439999999999998</v>
      </c>
      <c r="S93" s="14"/>
    </row>
    <row r="94" spans="4:19" ht="12.75" customHeight="1">
      <c r="D94" s="32" t="s">
        <v>159</v>
      </c>
      <c r="E94" s="17">
        <v>4.062</v>
      </c>
      <c r="F94" s="10"/>
      <c r="G94" s="17"/>
      <c r="H94" s="17"/>
      <c r="S94" s="14"/>
    </row>
    <row r="95" spans="4:19" ht="12.75" customHeight="1">
      <c r="D95" s="32" t="s">
        <v>160</v>
      </c>
      <c r="E95" s="17">
        <v>3.86</v>
      </c>
      <c r="F95" s="10"/>
      <c r="G95" s="17"/>
      <c r="H95" s="17"/>
      <c r="S95" s="14"/>
    </row>
    <row r="96" spans="4:19" ht="12.75" customHeight="1">
      <c r="D96" s="32"/>
      <c r="E96" s="17"/>
      <c r="F96" s="10"/>
      <c r="G96" s="17"/>
      <c r="H96" s="17"/>
      <c r="S96" s="14"/>
    </row>
    <row r="97" spans="1:19" ht="12.75" customHeight="1">
      <c r="A97" s="1" t="s">
        <v>161</v>
      </c>
      <c r="B97" s="1" t="s">
        <v>162</v>
      </c>
      <c r="C97" s="1">
        <v>100</v>
      </c>
      <c r="D97" s="12" t="s">
        <v>163</v>
      </c>
      <c r="E97" s="22">
        <v>13.484</v>
      </c>
      <c r="F97" s="10">
        <f>E97*(1+$F$3)</f>
        <v>13.484</v>
      </c>
      <c r="G97" s="13">
        <f>F97*(1-(G$3*G$4))</f>
        <v>13.484</v>
      </c>
      <c r="H97" s="12" t="s">
        <v>164</v>
      </c>
      <c r="I97" s="17">
        <v>13.061</v>
      </c>
      <c r="J97" s="1">
        <f>I97*(1+$J$3)</f>
        <v>13.061</v>
      </c>
      <c r="K97" s="17">
        <f>J97*(1-(K$3*K$4))</f>
        <v>13.061</v>
      </c>
      <c r="S97" s="14"/>
    </row>
    <row r="98" spans="4:19" ht="12.75" customHeight="1">
      <c r="D98" s="15">
        <f>E97/E98-1</f>
        <v>0.20156834788807698</v>
      </c>
      <c r="E98" s="16">
        <v>11.222</v>
      </c>
      <c r="F98" s="10"/>
      <c r="G98" s="17"/>
      <c r="H98" s="17" t="s">
        <v>165</v>
      </c>
      <c r="I98" s="18"/>
      <c r="J98" s="19"/>
      <c r="K98" s="20"/>
      <c r="S98" s="14"/>
    </row>
    <row r="99" ht="12.75" customHeight="1">
      <c r="S99" s="14"/>
    </row>
    <row r="100" spans="1:19" ht="12.75" customHeight="1">
      <c r="A100" s="1" t="s">
        <v>166</v>
      </c>
      <c r="B100" s="1" t="s">
        <v>167</v>
      </c>
      <c r="D100" s="1" t="s">
        <v>168</v>
      </c>
      <c r="E100" s="22">
        <v>13.56</v>
      </c>
      <c r="F100" s="1">
        <f>E100*(1+$F$3)</f>
        <v>13.56</v>
      </c>
      <c r="G100" s="13">
        <f>F100*(1-(G$3*G$4))</f>
        <v>13.56</v>
      </c>
      <c r="H100" s="12" t="s">
        <v>169</v>
      </c>
      <c r="I100" s="17">
        <v>16.058</v>
      </c>
      <c r="J100" s="1">
        <f>I100*(1+$J$3)</f>
        <v>16.058</v>
      </c>
      <c r="K100" s="17">
        <f>J100*(1-(K$3*K$4))</f>
        <v>16.058</v>
      </c>
      <c r="S100" s="14"/>
    </row>
    <row r="101" spans="4:19" ht="12.75" customHeight="1">
      <c r="D101" s="15">
        <f>E100/E101-1</f>
        <v>0.19946926138876608</v>
      </c>
      <c r="E101" s="16">
        <v>11.305</v>
      </c>
      <c r="G101" s="17"/>
      <c r="H101" s="17" t="s">
        <v>170</v>
      </c>
      <c r="I101" s="17"/>
      <c r="K101" s="17"/>
      <c r="S101" s="14"/>
    </row>
    <row r="102" spans="4:19" ht="12.75" customHeight="1">
      <c r="D102" s="33" t="s">
        <v>171</v>
      </c>
      <c r="E102" s="22">
        <v>11.821</v>
      </c>
      <c r="F102" s="1">
        <f>E102*(1+$F$3)</f>
        <v>11.821</v>
      </c>
      <c r="G102" s="13">
        <f>F102*(1-(G$3*G$4))</f>
        <v>11.821</v>
      </c>
      <c r="H102" s="17"/>
      <c r="I102" s="18"/>
      <c r="J102" s="19"/>
      <c r="K102" s="20"/>
      <c r="S102" s="14"/>
    </row>
    <row r="103" spans="4:19" ht="12.75" customHeight="1">
      <c r="D103" s="15">
        <f>E102/E103-1</f>
        <v>0.19815528076221378</v>
      </c>
      <c r="E103" s="16">
        <v>9.866</v>
      </c>
      <c r="S103" s="14"/>
    </row>
    <row r="104" spans="4:19" ht="12.75" customHeight="1">
      <c r="D104" s="34" t="s">
        <v>172</v>
      </c>
      <c r="E104" s="22">
        <v>12.08</v>
      </c>
      <c r="F104" s="1">
        <f>E104*(1+$F$3)</f>
        <v>12.08</v>
      </c>
      <c r="G104" s="17">
        <f>F104*(1-(G$3*G$4))</f>
        <v>12.08</v>
      </c>
      <c r="H104" s="17"/>
      <c r="S104" s="14"/>
    </row>
    <row r="105" spans="4:19" ht="12.75" customHeight="1">
      <c r="D105" s="15">
        <f>E104/E105-1</f>
        <v>0.1909691412797001</v>
      </c>
      <c r="E105" s="16">
        <v>10.143</v>
      </c>
      <c r="F105" s="10"/>
      <c r="H105" s="17"/>
      <c r="S105" s="14"/>
    </row>
    <row r="106" ht="12.75" customHeight="1">
      <c r="S106" s="14"/>
    </row>
    <row r="107" spans="1:19" ht="12.75" customHeight="1">
      <c r="A107" s="1" t="s">
        <v>173</v>
      </c>
      <c r="B107" s="1" t="s">
        <v>167</v>
      </c>
      <c r="D107" s="33" t="s">
        <v>174</v>
      </c>
      <c r="E107" s="22">
        <v>11.151</v>
      </c>
      <c r="F107" s="1">
        <f>E107*(1+$F$3)</f>
        <v>11.151</v>
      </c>
      <c r="G107" s="13">
        <f>F107*(1-(G$3*G$4))</f>
        <v>11.151</v>
      </c>
      <c r="H107" s="12" t="s">
        <v>175</v>
      </c>
      <c r="I107" s="17">
        <v>13.376</v>
      </c>
      <c r="J107" s="1">
        <f>I107*(1+$J$3)</f>
        <v>13.376</v>
      </c>
      <c r="K107" s="17">
        <f>J107*(1-(K$3*K$4))</f>
        <v>13.376</v>
      </c>
      <c r="S107" s="14"/>
    </row>
    <row r="108" spans="4:19" ht="12.75" customHeight="1">
      <c r="D108" s="15">
        <f>E107/E108-1</f>
        <v>0.13808940600122477</v>
      </c>
      <c r="E108" s="16">
        <v>9.798</v>
      </c>
      <c r="G108" s="17"/>
      <c r="H108" s="17" t="s">
        <v>176</v>
      </c>
      <c r="I108" s="17"/>
      <c r="K108" s="17"/>
      <c r="S108" s="14"/>
    </row>
    <row r="109" spans="4:19" ht="12.75" customHeight="1">
      <c r="D109" s="1" t="s">
        <v>177</v>
      </c>
      <c r="E109" s="22">
        <v>11.686</v>
      </c>
      <c r="F109" s="1">
        <f>E109*(1+$F$3)</f>
        <v>11.686</v>
      </c>
      <c r="G109" s="17">
        <f>F109*(1-(G$3*G$4))</f>
        <v>11.686</v>
      </c>
      <c r="H109" s="17"/>
      <c r="I109" s="18"/>
      <c r="J109" s="19"/>
      <c r="K109" s="20"/>
      <c r="S109" s="14"/>
    </row>
    <row r="110" spans="4:19" ht="12.75" customHeight="1">
      <c r="D110" s="15">
        <f>E109/E110-1</f>
        <v>0.1926923862012655</v>
      </c>
      <c r="E110" s="16">
        <v>9.798</v>
      </c>
      <c r="F110" s="10"/>
      <c r="H110" s="17"/>
      <c r="S110" s="14"/>
    </row>
    <row r="111" spans="4:19" ht="12.75" customHeight="1">
      <c r="D111" s="15"/>
      <c r="E111" s="16"/>
      <c r="F111" s="10"/>
      <c r="H111" s="17"/>
      <c r="S111" s="14"/>
    </row>
    <row r="112" spans="1:19" ht="12.75" customHeight="1">
      <c r="A112" s="1" t="s">
        <v>178</v>
      </c>
      <c r="B112" s="1" t="s">
        <v>179</v>
      </c>
      <c r="D112" s="12" t="s">
        <v>180</v>
      </c>
      <c r="E112" s="22">
        <v>13.981</v>
      </c>
      <c r="F112" s="1">
        <f>E112*(1+$F$3)</f>
        <v>13.981</v>
      </c>
      <c r="G112" s="13">
        <f>F112*(1-(G$3*G$4))</f>
        <v>13.981</v>
      </c>
      <c r="H112" s="12" t="s">
        <v>140</v>
      </c>
      <c r="I112" s="17">
        <v>13.376</v>
      </c>
      <c r="J112" s="1">
        <f>I112*(1+$J$3)</f>
        <v>13.376</v>
      </c>
      <c r="K112" s="17">
        <f>J112*(1-(K$3*K$4))</f>
        <v>13.376</v>
      </c>
      <c r="S112" s="14"/>
    </row>
    <row r="113" spans="2:19" ht="12.75" customHeight="1">
      <c r="B113" s="1" t="s">
        <v>181</v>
      </c>
      <c r="D113" s="15">
        <f>E112/E113-1</f>
        <v>0.19210436562073663</v>
      </c>
      <c r="E113" s="16">
        <v>11.728</v>
      </c>
      <c r="H113" s="17" t="s">
        <v>182</v>
      </c>
      <c r="I113" s="18"/>
      <c r="J113" s="19"/>
      <c r="K113" s="20"/>
      <c r="S113" s="14"/>
    </row>
    <row r="114" ht="12.75" customHeight="1">
      <c r="S114" s="14"/>
    </row>
    <row r="115" spans="1:19" ht="12.75" customHeight="1">
      <c r="A115" s="1" t="s">
        <v>183</v>
      </c>
      <c r="B115" s="1" t="s">
        <v>184</v>
      </c>
      <c r="C115" s="1">
        <v>100</v>
      </c>
      <c r="D115" s="12" t="s">
        <v>185</v>
      </c>
      <c r="E115" s="22">
        <v>15.288</v>
      </c>
      <c r="F115" s="10">
        <f>E115*(1+$F$3)</f>
        <v>15.288</v>
      </c>
      <c r="G115" s="13">
        <f>F115*(1-(G$3*G$4))</f>
        <v>15.288</v>
      </c>
      <c r="H115" s="12" t="s">
        <v>186</v>
      </c>
      <c r="I115" s="17">
        <v>15.143</v>
      </c>
      <c r="J115" s="1">
        <f>I115*(1+$J$3)</f>
        <v>15.143</v>
      </c>
      <c r="K115" s="17">
        <f>J115*(1-(K$3*K$4))</f>
        <v>15.143</v>
      </c>
      <c r="S115" s="14"/>
    </row>
    <row r="116" spans="4:19" ht="12.75" customHeight="1">
      <c r="D116" s="15">
        <f>E115/E116-1</f>
        <v>0.24191714053614954</v>
      </c>
      <c r="E116" s="16">
        <v>12.31</v>
      </c>
      <c r="F116" s="10"/>
      <c r="G116" s="17"/>
      <c r="H116" s="17" t="s">
        <v>187</v>
      </c>
      <c r="I116" s="17"/>
      <c r="K116" s="17"/>
      <c r="S116" s="14"/>
    </row>
    <row r="117" spans="4:19" ht="12.75" customHeight="1">
      <c r="D117" s="1" t="s">
        <v>188</v>
      </c>
      <c r="E117" s="22">
        <v>14.618</v>
      </c>
      <c r="F117" s="10">
        <f>E117*(1+$F$3)</f>
        <v>14.618</v>
      </c>
      <c r="G117" s="17">
        <f>F117*(1-(G$3*G$4))</f>
        <v>14.618</v>
      </c>
      <c r="I117" s="18"/>
      <c r="J117" s="19"/>
      <c r="K117" s="20"/>
      <c r="S117" s="14"/>
    </row>
    <row r="118" spans="4:19" ht="12.75" customHeight="1">
      <c r="D118" s="15">
        <f>E117/E118-1</f>
        <v>0.1934035431463792</v>
      </c>
      <c r="E118" s="16">
        <v>12.249</v>
      </c>
      <c r="F118" s="10"/>
      <c r="G118" s="17"/>
      <c r="I118" s="18"/>
      <c r="J118" s="19"/>
      <c r="K118" s="20"/>
      <c r="S118" s="14"/>
    </row>
    <row r="119" spans="4:19" ht="12.75" customHeight="1">
      <c r="D119" s="33" t="s">
        <v>189</v>
      </c>
      <c r="E119" s="22">
        <v>12.666</v>
      </c>
      <c r="F119" s="10">
        <f>E119*(1+$F$3)</f>
        <v>12.666</v>
      </c>
      <c r="G119" s="13">
        <f>F119*(1-(G$3*G$4))</f>
        <v>12.666</v>
      </c>
      <c r="I119" s="17"/>
      <c r="K119" s="17"/>
      <c r="S119" s="14"/>
    </row>
    <row r="120" spans="4:19" ht="12.75" customHeight="1">
      <c r="D120" s="15">
        <f>E119/E120-1</f>
        <v>0.19220632530120474</v>
      </c>
      <c r="E120" s="16">
        <v>10.624</v>
      </c>
      <c r="F120" s="10"/>
      <c r="G120" s="17"/>
      <c r="I120" s="17"/>
      <c r="K120" s="17"/>
      <c r="S120" s="14"/>
    </row>
    <row r="121" spans="4:19" ht="12.75" customHeight="1">
      <c r="D121" s="1" t="s">
        <v>190</v>
      </c>
      <c r="E121" s="22">
        <v>12.482</v>
      </c>
      <c r="F121" s="10"/>
      <c r="G121" s="17"/>
      <c r="I121" s="17"/>
      <c r="K121" s="17"/>
      <c r="S121" s="14"/>
    </row>
    <row r="122" spans="4:19" ht="12.75" customHeight="1">
      <c r="D122" s="15">
        <f>E121/E122-1</f>
        <v>0.19490714148956534</v>
      </c>
      <c r="E122" s="16">
        <v>10.446</v>
      </c>
      <c r="F122" s="10"/>
      <c r="H122" s="17"/>
      <c r="S122" s="14"/>
    </row>
    <row r="123" ht="12.75" customHeight="1">
      <c r="S123" s="14"/>
    </row>
    <row r="124" spans="1:19" ht="12.75" customHeight="1">
      <c r="A124" s="1" t="s">
        <v>191</v>
      </c>
      <c r="B124" s="1" t="s">
        <v>192</v>
      </c>
      <c r="C124" s="1">
        <v>100</v>
      </c>
      <c r="D124" s="33" t="s">
        <v>193</v>
      </c>
      <c r="E124" s="22">
        <v>11.151</v>
      </c>
      <c r="F124" s="10">
        <f>E124*(1+$F$3)</f>
        <v>11.151</v>
      </c>
      <c r="G124" s="13">
        <f>F124*(1-(G$3*G$4))</f>
        <v>11.151</v>
      </c>
      <c r="H124" s="12" t="s">
        <v>194</v>
      </c>
      <c r="I124" s="17">
        <v>14.02</v>
      </c>
      <c r="J124" s="1">
        <f>I124*(1+$J$3)</f>
        <v>14.02</v>
      </c>
      <c r="K124" s="17">
        <f>J124*(1-(K$3*K$4))</f>
        <v>14.02</v>
      </c>
      <c r="S124" s="14"/>
    </row>
    <row r="125" spans="4:19" ht="12.75" customHeight="1">
      <c r="D125" s="15">
        <f>E124/E125-1</f>
        <v>0.18338108882521498</v>
      </c>
      <c r="E125" s="16">
        <v>9.423</v>
      </c>
      <c r="F125" s="10"/>
      <c r="G125" s="17"/>
      <c r="H125" s="17" t="s">
        <v>195</v>
      </c>
      <c r="I125" s="17"/>
      <c r="K125" s="17"/>
      <c r="S125" s="14"/>
    </row>
    <row r="126" spans="4:19" ht="12.75" customHeight="1">
      <c r="D126" s="35" t="s">
        <v>196</v>
      </c>
      <c r="E126" s="22">
        <v>11.098</v>
      </c>
      <c r="F126" s="10">
        <f>E126*(1+$F$3)</f>
        <v>11.098</v>
      </c>
      <c r="G126" s="13">
        <f>F126*(1-(G$3*G$4))</f>
        <v>11.098</v>
      </c>
      <c r="H126" s="17"/>
      <c r="I126" s="18"/>
      <c r="J126" s="19"/>
      <c r="K126" s="20"/>
      <c r="S126" s="14"/>
    </row>
    <row r="127" spans="4:19" ht="12.75" customHeight="1">
      <c r="D127" s="15">
        <f>E126/E127-1</f>
        <v>0.1859371660611242</v>
      </c>
      <c r="E127" s="16">
        <v>9.358</v>
      </c>
      <c r="F127" s="10"/>
      <c r="G127" s="17"/>
      <c r="H127" s="17"/>
      <c r="I127" s="18"/>
      <c r="J127" s="19"/>
      <c r="K127" s="20"/>
      <c r="S127" s="14"/>
    </row>
    <row r="128" spans="4:19" ht="12.75" customHeight="1">
      <c r="D128" s="1" t="s">
        <v>197</v>
      </c>
      <c r="E128" s="22">
        <v>12.634</v>
      </c>
      <c r="F128" s="10">
        <f>E128*(1+$F$3)</f>
        <v>12.634</v>
      </c>
      <c r="G128" s="17">
        <f>F128*(1-(G$3*G$4))</f>
        <v>12.634</v>
      </c>
      <c r="H128" s="17"/>
      <c r="S128" s="14"/>
    </row>
    <row r="129" spans="4:19" ht="12.75" customHeight="1">
      <c r="D129" s="15">
        <f>E128/E129-1</f>
        <v>0.18673680255495007</v>
      </c>
      <c r="E129" s="16">
        <v>10.646</v>
      </c>
      <c r="F129" s="10"/>
      <c r="H129" s="17"/>
      <c r="S129" s="14"/>
    </row>
    <row r="130" ht="12.75" customHeight="1">
      <c r="S130" s="14"/>
    </row>
    <row r="131" spans="5:19" ht="12.75" customHeight="1">
      <c r="E131" s="17"/>
      <c r="F131" s="10"/>
      <c r="H131" s="17"/>
      <c r="S131" s="14"/>
    </row>
    <row r="132" spans="1:19" ht="12.75" customHeight="1">
      <c r="A132" s="1" t="s">
        <v>198</v>
      </c>
      <c r="B132" s="1" t="s">
        <v>199</v>
      </c>
      <c r="C132" s="1">
        <v>200</v>
      </c>
      <c r="D132" s="8" t="s">
        <v>200</v>
      </c>
      <c r="E132" s="9">
        <v>3.482</v>
      </c>
      <c r="F132" s="10">
        <f>E132*(1+$F$3)</f>
        <v>3.482</v>
      </c>
      <c r="G132" s="11">
        <f>F132*(1-(G$3*G$4))</f>
        <v>3.482</v>
      </c>
      <c r="H132" s="12" t="s">
        <v>201</v>
      </c>
      <c r="I132" s="17">
        <v>3.383</v>
      </c>
      <c r="J132" s="1">
        <f>I132*(1+$J$3)</f>
        <v>3.383</v>
      </c>
      <c r="K132" s="13">
        <f>J132*(1-(K$3*K$4))</f>
        <v>3.383</v>
      </c>
      <c r="L132" s="1">
        <f>130+31</f>
        <v>161</v>
      </c>
      <c r="O132" s="1">
        <f>L132+M132+N132</f>
        <v>161</v>
      </c>
      <c r="S132" s="14"/>
    </row>
    <row r="133" spans="1:19" ht="12.75" customHeight="1">
      <c r="A133" s="1" t="s">
        <v>202</v>
      </c>
      <c r="B133" s="1" t="s">
        <v>203</v>
      </c>
      <c r="D133" s="15">
        <f>E132/E133-1</f>
        <v>0.2090277777777778</v>
      </c>
      <c r="E133" s="16">
        <v>2.88</v>
      </c>
      <c r="F133" s="10"/>
      <c r="H133" s="17" t="s">
        <v>204</v>
      </c>
      <c r="J133" s="19"/>
      <c r="K133" s="20"/>
      <c r="L133" s="20"/>
      <c r="S133" s="14"/>
    </row>
    <row r="134" spans="6:19" ht="12.75" customHeight="1">
      <c r="F134" s="10"/>
      <c r="S134" s="14"/>
    </row>
    <row r="135" spans="1:19" ht="12.75" customHeight="1">
      <c r="A135" s="1" t="s">
        <v>205</v>
      </c>
      <c r="B135" s="1" t="s">
        <v>206</v>
      </c>
      <c r="C135" s="1">
        <v>50</v>
      </c>
      <c r="D135" s="8" t="s">
        <v>207</v>
      </c>
      <c r="E135" s="22">
        <v>6.939</v>
      </c>
      <c r="F135" s="10">
        <f>E135*(1+$F$3)</f>
        <v>6.939</v>
      </c>
      <c r="G135" s="17">
        <f>F135*(1-(G$3*G$4))</f>
        <v>6.939</v>
      </c>
      <c r="H135" s="12" t="s">
        <v>208</v>
      </c>
      <c r="I135" s="17">
        <v>4.833</v>
      </c>
      <c r="J135" s="1">
        <f>I135*(1+$J$3)</f>
        <v>4.833</v>
      </c>
      <c r="K135" s="13">
        <f>J135*(1-(K$3*K$4))</f>
        <v>4.833</v>
      </c>
      <c r="L135" s="1">
        <f>70+100</f>
        <v>170</v>
      </c>
      <c r="O135" s="1">
        <f>L135+M135+N135</f>
        <v>170</v>
      </c>
      <c r="S135" s="14"/>
    </row>
    <row r="136" spans="1:19" ht="12.75" customHeight="1">
      <c r="A136" s="1" t="s">
        <v>209</v>
      </c>
      <c r="D136" s="15">
        <f>E135/E136-1</f>
        <v>0.220151222085458</v>
      </c>
      <c r="E136" s="16">
        <v>5.687</v>
      </c>
      <c r="F136" s="10"/>
      <c r="H136" s="17" t="s">
        <v>210</v>
      </c>
      <c r="I136" s="18"/>
      <c r="J136" s="19"/>
      <c r="K136" s="20"/>
      <c r="S136" s="14"/>
    </row>
    <row r="137" spans="6:19" ht="12.75" customHeight="1">
      <c r="F137" s="10"/>
      <c r="S137" s="14"/>
    </row>
    <row r="138" spans="1:19" ht="12.75" customHeight="1">
      <c r="A138" s="1" t="s">
        <v>211</v>
      </c>
      <c r="B138" s="1" t="s">
        <v>212</v>
      </c>
      <c r="C138" s="1">
        <v>100</v>
      </c>
      <c r="D138" s="8" t="s">
        <v>213</v>
      </c>
      <c r="E138" s="22">
        <v>6.939</v>
      </c>
      <c r="F138" s="10">
        <f>E138*(1+$F$3)</f>
        <v>6.939</v>
      </c>
      <c r="G138" s="17">
        <f>F138*(1-(G$3*G$4))</f>
        <v>6.939</v>
      </c>
      <c r="H138" s="12" t="s">
        <v>214</v>
      </c>
      <c r="I138" s="17">
        <v>6.016</v>
      </c>
      <c r="J138" s="1">
        <f>I138*(1+$J$3)</f>
        <v>6.016</v>
      </c>
      <c r="K138" s="13">
        <f>J138*(1-(K$3*K$4))</f>
        <v>6.016</v>
      </c>
      <c r="L138" s="1">
        <v>89</v>
      </c>
      <c r="O138" s="1">
        <f>L138+M138+N138</f>
        <v>89</v>
      </c>
      <c r="S138" s="14"/>
    </row>
    <row r="139" spans="1:19" ht="12.75" customHeight="1">
      <c r="A139" s="1" t="s">
        <v>215</v>
      </c>
      <c r="D139" s="15">
        <f>E138/E139-1</f>
        <v>0.220151222085458</v>
      </c>
      <c r="E139" s="16">
        <v>5.687</v>
      </c>
      <c r="F139" s="10"/>
      <c r="H139" s="17" t="s">
        <v>216</v>
      </c>
      <c r="I139" s="18"/>
      <c r="J139" s="19"/>
      <c r="K139" s="20"/>
      <c r="S139" s="14"/>
    </row>
    <row r="140" spans="6:19" ht="12.75" customHeight="1">
      <c r="F140" s="10"/>
      <c r="S140" s="14"/>
    </row>
    <row r="141" spans="1:19" ht="12.75" customHeight="1">
      <c r="A141" s="1" t="s">
        <v>217</v>
      </c>
      <c r="B141" s="1" t="s">
        <v>218</v>
      </c>
      <c r="D141" s="8" t="s">
        <v>219</v>
      </c>
      <c r="E141" s="9">
        <v>3.115</v>
      </c>
      <c r="F141" s="10">
        <f>E141*(1+$F$3)</f>
        <v>3.115</v>
      </c>
      <c r="G141" s="17">
        <f>F141*(1-(G$3*G$4))</f>
        <v>3.115</v>
      </c>
      <c r="H141" s="12" t="s">
        <v>220</v>
      </c>
      <c r="I141" s="17">
        <v>3.056</v>
      </c>
      <c r="J141" s="1">
        <f>I141*(1+$J$3)</f>
        <v>3.056</v>
      </c>
      <c r="K141" s="13">
        <f>J141*(1-(K$3*K$4))</f>
        <v>3.056</v>
      </c>
      <c r="L141" s="1">
        <v>80</v>
      </c>
      <c r="O141" s="1">
        <f>L141+M141+N141</f>
        <v>80</v>
      </c>
      <c r="S141" s="14"/>
    </row>
    <row r="142" spans="4:19" ht="12.75" customHeight="1">
      <c r="D142" s="15">
        <f>E141/E142-1</f>
        <v>0.22734436564223803</v>
      </c>
      <c r="E142" s="16">
        <v>2.5380000000000003</v>
      </c>
      <c r="F142" s="10"/>
      <c r="H142" s="17" t="s">
        <v>221</v>
      </c>
      <c r="I142" s="18"/>
      <c r="J142" s="19"/>
      <c r="K142" s="20"/>
      <c r="S142" s="14"/>
    </row>
    <row r="143" spans="4:19" ht="12.75" customHeight="1">
      <c r="D143" s="17"/>
      <c r="E143" s="17"/>
      <c r="F143" s="10"/>
      <c r="H143" s="17"/>
      <c r="S143" s="14"/>
    </row>
    <row r="144" spans="1:20" ht="12.75" customHeight="1">
      <c r="A144" s="1" t="s">
        <v>222</v>
      </c>
      <c r="B144" s="1" t="s">
        <v>223</v>
      </c>
      <c r="C144" s="1">
        <v>150</v>
      </c>
      <c r="D144" s="8" t="s">
        <v>224</v>
      </c>
      <c r="E144" s="9">
        <v>3.263</v>
      </c>
      <c r="F144" s="10">
        <f>E144*(1+$F$3)</f>
        <v>3.263</v>
      </c>
      <c r="G144" s="13">
        <f>F144*(1-(G$3*G$4))</f>
        <v>3.263</v>
      </c>
      <c r="H144" s="12" t="s">
        <v>225</v>
      </c>
      <c r="I144" s="17">
        <v>3.2439999999999998</v>
      </c>
      <c r="J144" s="1">
        <f>I144*(1+$J$3)</f>
        <v>3.2439999999999998</v>
      </c>
      <c r="K144" s="13">
        <f>J144*(1-(K$3*K$4))</f>
        <v>3.2439999999999998</v>
      </c>
      <c r="L144" s="1">
        <v>64</v>
      </c>
      <c r="O144" s="1">
        <f>L144+M144+N144</f>
        <v>64</v>
      </c>
      <c r="P144" s="21" t="s">
        <v>222</v>
      </c>
      <c r="Q144" s="1">
        <v>200</v>
      </c>
      <c r="R144" s="1">
        <v>300</v>
      </c>
      <c r="S144" s="14">
        <f>K144*R144</f>
        <v>973.1999999999999</v>
      </c>
      <c r="T144" s="1" t="s">
        <v>226</v>
      </c>
    </row>
    <row r="145" spans="2:19" ht="12.75" customHeight="1">
      <c r="B145" s="1" t="s">
        <v>227</v>
      </c>
      <c r="D145" s="15">
        <f>E144/E145-1</f>
        <v>0.22715306506205346</v>
      </c>
      <c r="E145" s="16">
        <v>2.659</v>
      </c>
      <c r="F145" s="10"/>
      <c r="H145" s="17" t="s">
        <v>228</v>
      </c>
      <c r="J145" s="19"/>
      <c r="K145" s="20"/>
      <c r="L145" s="20"/>
      <c r="S145" s="14"/>
    </row>
    <row r="146" spans="2:19" ht="12.75" customHeight="1">
      <c r="B146" s="1" t="s">
        <v>229</v>
      </c>
      <c r="D146" s="8" t="s">
        <v>230</v>
      </c>
      <c r="E146" s="9">
        <v>4.795</v>
      </c>
      <c r="F146" s="10"/>
      <c r="S146" s="14"/>
    </row>
    <row r="147" spans="4:19" ht="12.75" customHeight="1">
      <c r="D147" s="15">
        <f>E146/E147-1</f>
        <v>0.8033095148552087</v>
      </c>
      <c r="E147" s="16">
        <v>2.659</v>
      </c>
      <c r="F147" s="10"/>
      <c r="S147" s="14"/>
    </row>
    <row r="148" spans="6:19" ht="12.75" customHeight="1">
      <c r="F148" s="10"/>
      <c r="S148" s="14"/>
    </row>
    <row r="149" spans="1:19" ht="12.75" customHeight="1">
      <c r="A149" s="1" t="s">
        <v>231</v>
      </c>
      <c r="B149" s="1" t="s">
        <v>232</v>
      </c>
      <c r="C149" s="1">
        <v>100</v>
      </c>
      <c r="D149" s="8" t="s">
        <v>233</v>
      </c>
      <c r="E149" s="9">
        <v>3.915</v>
      </c>
      <c r="F149" s="10">
        <f>E149*(1+$F$3)</f>
        <v>3.915</v>
      </c>
      <c r="G149" s="13">
        <f>F149*(1-(G$3*G$4))</f>
        <v>3.915</v>
      </c>
      <c r="H149" s="12" t="s">
        <v>234</v>
      </c>
      <c r="I149" s="17">
        <v>4.443</v>
      </c>
      <c r="J149" s="1">
        <f>I149*(1+$J$3)</f>
        <v>4.443</v>
      </c>
      <c r="K149" s="17">
        <f>J149*(1-(K$3*K$4))</f>
        <v>4.443</v>
      </c>
      <c r="L149" s="1">
        <f>40+12</f>
        <v>52</v>
      </c>
      <c r="O149" s="1">
        <f>L149+M149+N149</f>
        <v>52</v>
      </c>
      <c r="P149" s="21" t="s">
        <v>231</v>
      </c>
      <c r="Q149" s="1">
        <v>100</v>
      </c>
      <c r="S149" s="14"/>
    </row>
    <row r="150" spans="2:19" ht="12.75" customHeight="1">
      <c r="B150" s="1" t="s">
        <v>235</v>
      </c>
      <c r="D150" s="15">
        <f>E149/E150-1</f>
        <v>0.23035826524198622</v>
      </c>
      <c r="E150" s="16">
        <v>3.182</v>
      </c>
      <c r="F150" s="10"/>
      <c r="H150" s="17" t="s">
        <v>236</v>
      </c>
      <c r="I150" s="18"/>
      <c r="J150" s="19"/>
      <c r="K150" s="20"/>
      <c r="S150" s="14"/>
    </row>
    <row r="151" spans="4:19" ht="12.75" customHeight="1">
      <c r="D151" s="8" t="s">
        <v>237</v>
      </c>
      <c r="E151" s="9">
        <v>3.922</v>
      </c>
      <c r="F151" s="10">
        <f>E151*(1+$F$3)</f>
        <v>3.922</v>
      </c>
      <c r="G151" s="13">
        <f>F151*(1-(G$3*G$4))</f>
        <v>3.922</v>
      </c>
      <c r="H151" s="35">
        <v>3043.88</v>
      </c>
      <c r="S151" s="14"/>
    </row>
    <row r="152" spans="4:19" ht="12.75" customHeight="1">
      <c r="D152" s="15">
        <f>E151/E152-1</f>
        <v>0.22447705276303487</v>
      </c>
      <c r="E152" s="16">
        <v>3.203</v>
      </c>
      <c r="F152" s="10"/>
      <c r="S152" s="14"/>
    </row>
    <row r="153" spans="2:19" ht="12.75" customHeight="1">
      <c r="B153" s="1" t="s">
        <v>238</v>
      </c>
      <c r="C153" s="1">
        <v>50</v>
      </c>
      <c r="D153" s="8" t="s">
        <v>239</v>
      </c>
      <c r="E153" s="9">
        <v>4.319</v>
      </c>
      <c r="F153" s="10">
        <f>E153*(1+$F$3)</f>
        <v>4.319</v>
      </c>
      <c r="G153" s="13">
        <f>F153*(1-(G$3*G$4))</f>
        <v>4.319</v>
      </c>
      <c r="S153" s="14"/>
    </row>
    <row r="154" spans="4:19" ht="12.75" customHeight="1">
      <c r="D154" s="17"/>
      <c r="F154" s="10"/>
      <c r="S154" s="14"/>
    </row>
    <row r="155" spans="1:20" ht="12.75" customHeight="1">
      <c r="A155" s="1" t="s">
        <v>240</v>
      </c>
      <c r="B155" s="1" t="s">
        <v>241</v>
      </c>
      <c r="C155" s="1">
        <v>200</v>
      </c>
      <c r="D155" s="36" t="s">
        <v>242</v>
      </c>
      <c r="E155" s="9">
        <v>4.474</v>
      </c>
      <c r="F155" s="10">
        <f>E155*(1+$F$3)</f>
        <v>4.474</v>
      </c>
      <c r="G155" s="13">
        <f>F155*(1-(G$3*G$4))</f>
        <v>4.474</v>
      </c>
      <c r="H155" s="12" t="s">
        <v>243</v>
      </c>
      <c r="I155" s="17">
        <v>4.443</v>
      </c>
      <c r="J155" s="1">
        <f>I155*(1+$J$3)</f>
        <v>4.443</v>
      </c>
      <c r="K155" s="13">
        <f>J155*(1-(K$3*K$4))</f>
        <v>4.443</v>
      </c>
      <c r="L155" s="1">
        <f>63+96+150</f>
        <v>309</v>
      </c>
      <c r="N155" s="1">
        <f>11*30</f>
        <v>330</v>
      </c>
      <c r="O155" s="1">
        <f>L155+M155+N155</f>
        <v>639</v>
      </c>
      <c r="R155" s="1">
        <v>300</v>
      </c>
      <c r="S155" s="14">
        <f>K155*R155</f>
        <v>1332.8999999999999</v>
      </c>
      <c r="T155" s="1" t="s">
        <v>244</v>
      </c>
    </row>
    <row r="156" spans="2:19" ht="12.75" customHeight="1">
      <c r="B156" s="1" t="s">
        <v>245</v>
      </c>
      <c r="D156" s="15">
        <f>E155/E156-1</f>
        <v>0.2599267811883976</v>
      </c>
      <c r="E156" s="16">
        <v>3.551</v>
      </c>
      <c r="F156" s="10"/>
      <c r="H156" s="17" t="s">
        <v>246</v>
      </c>
      <c r="J156" s="19"/>
      <c r="K156" s="20"/>
      <c r="L156" s="20"/>
      <c r="S156" s="14"/>
    </row>
    <row r="157" spans="2:19" ht="12.75" customHeight="1">
      <c r="B157" s="1" t="s">
        <v>247</v>
      </c>
      <c r="D157" s="8" t="s">
        <v>248</v>
      </c>
      <c r="E157" s="9">
        <v>4.47</v>
      </c>
      <c r="F157" s="10">
        <f>E157*(1+$F$3)</f>
        <v>4.47</v>
      </c>
      <c r="G157" s="13">
        <f>F157*(1-(G$3*G$4))</f>
        <v>4.47</v>
      </c>
      <c r="S157" s="14"/>
    </row>
    <row r="158" spans="2:19" ht="12.75" customHeight="1">
      <c r="B158" s="1" t="s">
        <v>249</v>
      </c>
      <c r="D158" s="15">
        <f>E157/E158-1</f>
        <v>0.2627118644067796</v>
      </c>
      <c r="E158" s="16">
        <v>3.54</v>
      </c>
      <c r="F158" s="10"/>
      <c r="S158" s="14"/>
    </row>
    <row r="159" spans="2:19" ht="12.75" customHeight="1">
      <c r="B159" s="1" t="s">
        <v>250</v>
      </c>
      <c r="F159" s="10"/>
      <c r="S159" s="14"/>
    </row>
    <row r="160" spans="2:19" ht="12.75" customHeight="1">
      <c r="B160" s="1" t="s">
        <v>251</v>
      </c>
      <c r="F160" s="10"/>
      <c r="S160" s="14"/>
    </row>
    <row r="161" spans="2:19" ht="12.75" customHeight="1">
      <c r="B161" s="1" t="s">
        <v>252</v>
      </c>
      <c r="D161"/>
      <c r="E161"/>
      <c r="F161" s="10"/>
      <c r="S161" s="14"/>
    </row>
    <row r="162" spans="2:19" ht="12.75" customHeight="1">
      <c r="B162" s="1" t="s">
        <v>253</v>
      </c>
      <c r="D162" s="8" t="s">
        <v>254</v>
      </c>
      <c r="E162" s="9">
        <v>5.072</v>
      </c>
      <c r="F162" s="10"/>
      <c r="S162" s="14"/>
    </row>
    <row r="163" spans="4:19" ht="12.75" customHeight="1">
      <c r="D163" s="24"/>
      <c r="E163" s="30"/>
      <c r="F163" s="10"/>
      <c r="S163" s="14"/>
    </row>
    <row r="164" spans="1:19" ht="12.75" customHeight="1">
      <c r="A164" s="1" t="s">
        <v>255</v>
      </c>
      <c r="B164" s="1" t="s">
        <v>256</v>
      </c>
      <c r="D164" s="8" t="s">
        <v>257</v>
      </c>
      <c r="E164" s="22">
        <v>5.9350000000000005</v>
      </c>
      <c r="F164" s="10">
        <f>E164*(1+$F$3)</f>
        <v>5.9350000000000005</v>
      </c>
      <c r="G164" s="17">
        <f>F164*(1-(G$3*G$4))</f>
        <v>5.9350000000000005</v>
      </c>
      <c r="H164" s="12" t="s">
        <v>258</v>
      </c>
      <c r="I164" s="17">
        <v>8.002</v>
      </c>
      <c r="J164" s="1">
        <f>I164*(1+$J$3)</f>
        <v>8.002</v>
      </c>
      <c r="K164" s="17">
        <f>J164*(1-(K$3*K$4))</f>
        <v>8.002</v>
      </c>
      <c r="S164" s="14"/>
    </row>
    <row r="165" spans="1:19" ht="12.75" customHeight="1">
      <c r="A165" s="1" t="s">
        <v>259</v>
      </c>
      <c r="D165" s="15">
        <f>E164/E165-1</f>
        <v>0.28993697022386455</v>
      </c>
      <c r="E165" s="30">
        <v>4.601</v>
      </c>
      <c r="F165" s="10"/>
      <c r="G165" s="17"/>
      <c r="H165" s="17" t="s">
        <v>260</v>
      </c>
      <c r="I165" s="17"/>
      <c r="K165" s="17"/>
      <c r="S165" s="14"/>
    </row>
    <row r="166" spans="4:19" ht="12.75" customHeight="1">
      <c r="D166" s="8" t="s">
        <v>261</v>
      </c>
      <c r="E166" s="22">
        <v>7.656</v>
      </c>
      <c r="F166" s="10">
        <f>E166*(1+$F$3)</f>
        <v>7.656</v>
      </c>
      <c r="G166" s="13">
        <f>F166*(1-(G$3*G$4))</f>
        <v>7.656</v>
      </c>
      <c r="J166" s="19"/>
      <c r="K166" s="20"/>
      <c r="S166" s="14"/>
    </row>
    <row r="167" spans="4:19" ht="12.75" customHeight="1">
      <c r="D167" s="15">
        <f>E166/E167-1</f>
        <v>0.23067031023951134</v>
      </c>
      <c r="E167" s="1">
        <v>6.221</v>
      </c>
      <c r="F167" s="10"/>
      <c r="S167" s="14"/>
    </row>
    <row r="168" spans="4:19" ht="12.75" customHeight="1">
      <c r="D168" s="15"/>
      <c r="F168" s="10"/>
      <c r="S168" s="14"/>
    </row>
    <row r="169" spans="1:19" ht="12.75" customHeight="1">
      <c r="A169" s="1" t="s">
        <v>262</v>
      </c>
      <c r="B169" s="1" t="s">
        <v>263</v>
      </c>
      <c r="C169" s="1">
        <v>50</v>
      </c>
      <c r="D169" s="8" t="s">
        <v>264</v>
      </c>
      <c r="E169" s="22">
        <v>5.192</v>
      </c>
      <c r="F169" s="10">
        <f>E169*(1+$F$3)</f>
        <v>5.192</v>
      </c>
      <c r="G169" s="13">
        <f>F169*(1-(G$3*G$4))</f>
        <v>5.192</v>
      </c>
      <c r="H169" s="12" t="s">
        <v>265</v>
      </c>
      <c r="I169" s="17">
        <v>5.53</v>
      </c>
      <c r="J169" s="1">
        <f>I169*(1+$J$3)</f>
        <v>5.53</v>
      </c>
      <c r="K169" s="17">
        <f>J169*(1-(K$3*K$4))</f>
        <v>5.53</v>
      </c>
      <c r="O169" s="1">
        <f>L169+M169+N169</f>
        <v>0</v>
      </c>
      <c r="S169" s="14"/>
    </row>
    <row r="170" spans="4:19" ht="12.75" customHeight="1">
      <c r="D170" s="15">
        <f>E169/E170-1</f>
        <v>0.2629530527852104</v>
      </c>
      <c r="E170" s="16">
        <v>4.111</v>
      </c>
      <c r="F170" s="10"/>
      <c r="H170" s="17" t="s">
        <v>266</v>
      </c>
      <c r="I170" s="18"/>
      <c r="J170" s="19"/>
      <c r="K170" s="20"/>
      <c r="S170" s="14"/>
    </row>
    <row r="171" spans="4:19" ht="12.75" customHeight="1">
      <c r="D171" s="8" t="s">
        <v>257</v>
      </c>
      <c r="E171" s="22">
        <v>5.9350000000000005</v>
      </c>
      <c r="F171" s="10">
        <f>E171*(1+$F$3)</f>
        <v>5.9350000000000005</v>
      </c>
      <c r="G171" s="17">
        <f>F171*(1-(G$3*G$4))</f>
        <v>5.9350000000000005</v>
      </c>
      <c r="K171" s="17"/>
      <c r="S171" s="14"/>
    </row>
    <row r="172" spans="4:19" ht="12.75" customHeight="1">
      <c r="D172" s="15">
        <f>E171/E172-1</f>
        <v>0.28993697022386455</v>
      </c>
      <c r="E172" s="16">
        <v>4.601</v>
      </c>
      <c r="F172" s="10"/>
      <c r="S172" s="14"/>
    </row>
    <row r="173" spans="1:20" ht="12.75" customHeight="1">
      <c r="A173" s="1" t="s">
        <v>267</v>
      </c>
      <c r="B173" s="1" t="s">
        <v>268</v>
      </c>
      <c r="C173" s="1">
        <v>200</v>
      </c>
      <c r="D173" s="8" t="s">
        <v>269</v>
      </c>
      <c r="E173" s="22">
        <v>5.077</v>
      </c>
      <c r="F173" s="10">
        <f>E173*(1+$F$3)</f>
        <v>5.077</v>
      </c>
      <c r="G173" s="13">
        <f>F173*(1-(G$3*G$4))</f>
        <v>5.077</v>
      </c>
      <c r="H173" s="12" t="s">
        <v>270</v>
      </c>
      <c r="I173" s="17">
        <v>5.163</v>
      </c>
      <c r="J173" s="1">
        <f>I173*(1+$J$3)</f>
        <v>5.163</v>
      </c>
      <c r="K173" s="11">
        <f>J173*(1-(K$3*K$4))</f>
        <v>5.163</v>
      </c>
      <c r="L173" s="1">
        <f>63+367</f>
        <v>430</v>
      </c>
      <c r="N173" s="1">
        <f>15*20</f>
        <v>300</v>
      </c>
      <c r="O173" s="1">
        <f>L173+M173+N173</f>
        <v>730</v>
      </c>
      <c r="R173" s="1">
        <v>400</v>
      </c>
      <c r="S173" s="14">
        <f>K173*R173</f>
        <v>2065.2000000000003</v>
      </c>
      <c r="T173" s="1" t="s">
        <v>271</v>
      </c>
    </row>
    <row r="174" spans="2:19" ht="12.75" customHeight="1">
      <c r="B174" s="1" t="s">
        <v>272</v>
      </c>
      <c r="D174" s="15">
        <f>E173/E174-1</f>
        <v>0.27115673510265403</v>
      </c>
      <c r="E174" s="16">
        <v>3.9939999999999998</v>
      </c>
      <c r="F174" s="10"/>
      <c r="H174" s="17" t="s">
        <v>273</v>
      </c>
      <c r="J174" s="19"/>
      <c r="K174" s="20"/>
      <c r="L174" s="20"/>
      <c r="S174" s="14"/>
    </row>
    <row r="175" spans="2:19" ht="12.75" customHeight="1">
      <c r="B175" s="1" t="s">
        <v>274</v>
      </c>
      <c r="D175" s="8" t="s">
        <v>275</v>
      </c>
      <c r="E175" s="22">
        <v>5.086</v>
      </c>
      <c r="F175" s="10">
        <f>E175*(1+$F$3)</f>
        <v>5.086</v>
      </c>
      <c r="G175" s="13">
        <f>F175*(1-(G$3*G$4))</f>
        <v>5.086</v>
      </c>
      <c r="K175" s="17"/>
      <c r="S175" s="14"/>
    </row>
    <row r="176" spans="2:19" ht="12.75" customHeight="1">
      <c r="B176" s="1" t="s">
        <v>276</v>
      </c>
      <c r="D176" s="15">
        <f>E175/E176-1</f>
        <v>0.26548892759392895</v>
      </c>
      <c r="E176" s="16">
        <v>4.019</v>
      </c>
      <c r="F176" s="10"/>
      <c r="S176" s="14"/>
    </row>
    <row r="177" spans="2:19" ht="12.75" customHeight="1">
      <c r="B177" s="1" t="s">
        <v>277</v>
      </c>
      <c r="F177" s="10"/>
      <c r="S177" s="14"/>
    </row>
    <row r="178" spans="1:19" ht="12.75" customHeight="1">
      <c r="A178" s="1" t="s">
        <v>278</v>
      </c>
      <c r="B178" s="1" t="s">
        <v>279</v>
      </c>
      <c r="F178" s="10"/>
      <c r="S178" s="14"/>
    </row>
    <row r="179" spans="6:19" ht="12.75" customHeight="1">
      <c r="F179" s="10"/>
      <c r="S179" s="14"/>
    </row>
    <row r="180" spans="1:19" ht="12.75" customHeight="1">
      <c r="A180" s="1" t="s">
        <v>280</v>
      </c>
      <c r="B180" s="12" t="s">
        <v>281</v>
      </c>
      <c r="C180" s="1">
        <v>100</v>
      </c>
      <c r="D180" s="8" t="s">
        <v>282</v>
      </c>
      <c r="E180" s="9">
        <v>5.954</v>
      </c>
      <c r="F180" s="10">
        <f>E180*(1+$F$3)</f>
        <v>5.954</v>
      </c>
      <c r="G180" s="13">
        <f>F180*(1-(G$3*G$4))</f>
        <v>5.954</v>
      </c>
      <c r="H180" s="12" t="s">
        <v>283</v>
      </c>
      <c r="I180" s="17">
        <v>6.417</v>
      </c>
      <c r="J180" s="1">
        <f>I180*(1+$J$3)</f>
        <v>6.417</v>
      </c>
      <c r="K180" s="17">
        <f>J180*(1-(K$3*K$4))</f>
        <v>6.417</v>
      </c>
      <c r="L180" s="1">
        <f>32+60+181</f>
        <v>273</v>
      </c>
      <c r="N180" s="1">
        <f>9*24+70</f>
        <v>286</v>
      </c>
      <c r="O180" s="1">
        <f>L180+M180+N180</f>
        <v>559</v>
      </c>
      <c r="S180" s="14"/>
    </row>
    <row r="181" spans="2:19" ht="12.75" customHeight="1">
      <c r="B181" s="12" t="s">
        <v>284</v>
      </c>
      <c r="D181" s="15">
        <f>E180/E181-1</f>
        <v>0.26224295102819584</v>
      </c>
      <c r="E181" s="16">
        <v>4.717</v>
      </c>
      <c r="F181" s="10"/>
      <c r="H181" s="17" t="s">
        <v>285</v>
      </c>
      <c r="I181" s="18"/>
      <c r="J181" s="19"/>
      <c r="K181" s="20"/>
      <c r="S181" s="14"/>
    </row>
    <row r="182" spans="2:19" ht="12.75" customHeight="1">
      <c r="B182" s="1" t="s">
        <v>286</v>
      </c>
      <c r="D182" s="8" t="s">
        <v>287</v>
      </c>
      <c r="E182" s="9">
        <v>5.954</v>
      </c>
      <c r="F182" s="10">
        <f>E182*(1+$F$3)</f>
        <v>5.954</v>
      </c>
      <c r="G182" s="13">
        <f>F182*(1-(G$3*G$4))</f>
        <v>5.954</v>
      </c>
      <c r="H182" s="35">
        <v>4496.62</v>
      </c>
      <c r="K182" s="17"/>
      <c r="S182" s="14"/>
    </row>
    <row r="183" spans="4:19" ht="12.75" customHeight="1">
      <c r="D183" s="15">
        <f>E182/E183-1</f>
        <v>0.26224295102819584</v>
      </c>
      <c r="E183" s="16">
        <v>4.717</v>
      </c>
      <c r="F183" s="10"/>
      <c r="S183" s="14"/>
    </row>
    <row r="184" spans="2:19" ht="12.75" customHeight="1">
      <c r="B184" s="1" t="s">
        <v>288</v>
      </c>
      <c r="D184" s="8" t="s">
        <v>289</v>
      </c>
      <c r="E184" s="37">
        <v>7.048</v>
      </c>
      <c r="F184" s="10">
        <f>E184*(1+$F$3)</f>
        <v>7.048</v>
      </c>
      <c r="G184" s="17">
        <f>F184*(1-(G$3*G$4))</f>
        <v>7.048</v>
      </c>
      <c r="H184" s="12" t="s">
        <v>290</v>
      </c>
      <c r="I184" s="17">
        <v>6.306</v>
      </c>
      <c r="J184" s="1">
        <f>I184*(1+$J$3)</f>
        <v>6.306</v>
      </c>
      <c r="K184" s="13">
        <f>J184*(1-(K$3*K$4))</f>
        <v>6.306</v>
      </c>
      <c r="S184" s="14"/>
    </row>
    <row r="185" spans="2:19" ht="12.75" customHeight="1">
      <c r="B185" s="12" t="s">
        <v>291</v>
      </c>
      <c r="D185" s="15">
        <f>E184/E185-1</f>
        <v>0.2955882352941175</v>
      </c>
      <c r="E185" s="16">
        <v>5.44</v>
      </c>
      <c r="F185" s="10"/>
      <c r="H185" s="17" t="s">
        <v>292</v>
      </c>
      <c r="I185" s="18"/>
      <c r="J185" s="19"/>
      <c r="K185" s="20"/>
      <c r="S185" s="14"/>
    </row>
    <row r="186" spans="2:19" ht="12.75" customHeight="1">
      <c r="B186" s="1" t="s">
        <v>293</v>
      </c>
      <c r="D186" s="17"/>
      <c r="F186" s="10"/>
      <c r="H186" s="12" t="s">
        <v>294</v>
      </c>
      <c r="I186" s="17">
        <v>6.417</v>
      </c>
      <c r="J186" s="1">
        <f>I186*(1+$J$3)</f>
        <v>6.417</v>
      </c>
      <c r="K186" s="17">
        <f>J186*(1-(K$3*K$4))</f>
        <v>6.417</v>
      </c>
      <c r="S186" s="14"/>
    </row>
    <row r="187" spans="6:19" ht="12.75" customHeight="1">
      <c r="F187" s="10"/>
      <c r="H187" s="17" t="s">
        <v>295</v>
      </c>
      <c r="I187" s="18"/>
      <c r="J187" s="19"/>
      <c r="K187" s="20"/>
      <c r="S187" s="14"/>
    </row>
    <row r="188" spans="6:19" ht="12.75" customHeight="1">
      <c r="F188" s="10"/>
      <c r="H188" s="17"/>
      <c r="I188" s="18"/>
      <c r="J188" s="19"/>
      <c r="K188" s="20"/>
      <c r="S188" s="14"/>
    </row>
    <row r="189" spans="1:19" ht="12.75" customHeight="1">
      <c r="A189" s="1" t="s">
        <v>296</v>
      </c>
      <c r="B189" s="1" t="s">
        <v>297</v>
      </c>
      <c r="C189" s="1">
        <v>200</v>
      </c>
      <c r="D189" s="8" t="s">
        <v>298</v>
      </c>
      <c r="E189" s="22">
        <v>10.988</v>
      </c>
      <c r="F189" s="10">
        <f>E189*(1+$F$3)</f>
        <v>10.988</v>
      </c>
      <c r="G189" s="17">
        <f>F189*(1-(G$3*G$4))</f>
        <v>10.988</v>
      </c>
      <c r="H189" s="12" t="s">
        <v>299</v>
      </c>
      <c r="I189" s="17">
        <v>7.7</v>
      </c>
      <c r="J189" s="1">
        <f>I189*(1+$J$3)</f>
        <v>7.7</v>
      </c>
      <c r="K189" s="13">
        <f>J189*(1-(K$3*K$4))</f>
        <v>7.7</v>
      </c>
      <c r="O189" s="1">
        <f>L189+M189+N189</f>
        <v>0</v>
      </c>
      <c r="S189" s="14"/>
    </row>
    <row r="190" spans="4:19" ht="12.75" customHeight="1">
      <c r="D190" s="15">
        <f>E189/E190-1</f>
        <v>0.20535322509872755</v>
      </c>
      <c r="E190" s="16">
        <v>9.116</v>
      </c>
      <c r="F190" s="10"/>
      <c r="H190" s="17" t="s">
        <v>300</v>
      </c>
      <c r="I190" s="18"/>
      <c r="J190" s="19"/>
      <c r="K190" s="38">
        <f>G189/1000-K189</f>
        <v>-7.689012</v>
      </c>
      <c r="S190" s="14"/>
    </row>
    <row r="191" spans="6:19" ht="12.75" customHeight="1">
      <c r="F191" s="10"/>
      <c r="S191" s="14"/>
    </row>
    <row r="192" spans="1:19" ht="12.75" customHeight="1">
      <c r="A192" s="1" t="s">
        <v>301</v>
      </c>
      <c r="B192" s="1" t="s">
        <v>302</v>
      </c>
      <c r="C192" s="1">
        <v>50</v>
      </c>
      <c r="D192" s="8" t="s">
        <v>303</v>
      </c>
      <c r="E192" s="22">
        <v>12.839</v>
      </c>
      <c r="F192" s="10">
        <f>E192*(1+$F$3)</f>
        <v>12.839</v>
      </c>
      <c r="G192" s="13">
        <f>F192*(1-(G$3*G$4))</f>
        <v>12.839</v>
      </c>
      <c r="H192" s="12" t="s">
        <v>304</v>
      </c>
      <c r="I192" s="17">
        <v>18.935</v>
      </c>
      <c r="J192" s="1">
        <f>I192*(1+$J$3)</f>
        <v>18.935</v>
      </c>
      <c r="K192" s="17">
        <f>J192*(1-(K$3*K$4))</f>
        <v>18.935</v>
      </c>
      <c r="N192" s="1">
        <v>96</v>
      </c>
      <c r="O192" s="1">
        <f>L192+M192+N192</f>
        <v>96</v>
      </c>
      <c r="S192" s="14"/>
    </row>
    <row r="193" spans="1:19" ht="12.75" customHeight="1">
      <c r="A193" s="1" t="s">
        <v>96</v>
      </c>
      <c r="D193" s="15">
        <f>E192/E193-1</f>
        <v>0.2147790708676316</v>
      </c>
      <c r="E193" s="16">
        <v>10.569</v>
      </c>
      <c r="F193" s="10"/>
      <c r="H193" s="17" t="s">
        <v>305</v>
      </c>
      <c r="I193" s="18"/>
      <c r="J193" s="19"/>
      <c r="K193" s="20"/>
      <c r="S193" s="14"/>
    </row>
    <row r="194" spans="6:19" ht="12.75" customHeight="1">
      <c r="F194" s="10"/>
      <c r="S194" s="14"/>
    </row>
    <row r="195" spans="1:19" ht="12.75" customHeight="1">
      <c r="A195" s="1" t="s">
        <v>306</v>
      </c>
      <c r="B195" s="1" t="s">
        <v>256</v>
      </c>
      <c r="D195" s="39" t="s">
        <v>307</v>
      </c>
      <c r="E195" s="21">
        <v>7.566</v>
      </c>
      <c r="F195" s="10">
        <f>E195*(1+$F$3)</f>
        <v>7.566</v>
      </c>
      <c r="G195" s="13">
        <f>F195*(1-(G$3*G$4))</f>
        <v>7.566</v>
      </c>
      <c r="H195" s="12" t="s">
        <v>308</v>
      </c>
      <c r="I195" s="17">
        <v>10.448</v>
      </c>
      <c r="J195" s="1">
        <f>I195*(1+$J$3)</f>
        <v>10.448</v>
      </c>
      <c r="K195" s="17">
        <f>J195*(1-(K$3*K$4))</f>
        <v>10.448</v>
      </c>
      <c r="S195" s="14"/>
    </row>
    <row r="196" spans="1:19" ht="12.75" customHeight="1">
      <c r="A196" s="1" t="s">
        <v>309</v>
      </c>
      <c r="E196" s="1">
        <v>6.871</v>
      </c>
      <c r="F196" s="10"/>
      <c r="H196" s="17" t="s">
        <v>310</v>
      </c>
      <c r="J196" s="19"/>
      <c r="K196" s="20"/>
      <c r="S196" s="14"/>
    </row>
    <row r="197" spans="4:19" ht="12.75" customHeight="1">
      <c r="D197" s="12" t="s">
        <v>311</v>
      </c>
      <c r="E197" s="21">
        <v>7.229</v>
      </c>
      <c r="F197" s="10">
        <f>E197*(1+$F$3)</f>
        <v>7.229</v>
      </c>
      <c r="G197" s="13">
        <f>F197*(1-(G$3*G$4))</f>
        <v>7.229</v>
      </c>
      <c r="H197" s="12" t="s">
        <v>312</v>
      </c>
      <c r="I197" s="17">
        <v>7.739</v>
      </c>
      <c r="J197" s="1">
        <f>I197*(1+$J$3)</f>
        <v>7.739</v>
      </c>
      <c r="K197" s="17">
        <f>J197*(1-(K$3*K$4))</f>
        <v>7.739</v>
      </c>
      <c r="S197" s="14"/>
    </row>
    <row r="198" spans="5:19" ht="12.75" customHeight="1">
      <c r="E198" s="1">
        <v>5.579</v>
      </c>
      <c r="F198" s="10"/>
      <c r="G198" s="17"/>
      <c r="H198" s="12"/>
      <c r="I198" s="17"/>
      <c r="K198" s="17"/>
      <c r="S198" s="14"/>
    </row>
    <row r="199" spans="4:19" ht="12.75" customHeight="1">
      <c r="D199" s="12" t="s">
        <v>313</v>
      </c>
      <c r="E199" s="21">
        <v>7.566</v>
      </c>
      <c r="F199" s="10">
        <f>E199*(1+$F$3)</f>
        <v>7.566</v>
      </c>
      <c r="G199" s="13">
        <f>F199*(1-(G$3*G$4))</f>
        <v>7.566</v>
      </c>
      <c r="H199" s="17" t="s">
        <v>314</v>
      </c>
      <c r="I199" s="18"/>
      <c r="J199" s="19"/>
      <c r="K199" s="20"/>
      <c r="S199" s="14"/>
    </row>
    <row r="200" spans="5:19" ht="12.75" customHeight="1">
      <c r="E200" s="1">
        <v>5.871</v>
      </c>
      <c r="F200" s="10"/>
      <c r="S200" s="14"/>
    </row>
    <row r="201" spans="6:19" ht="12.75" customHeight="1">
      <c r="F201" s="10"/>
      <c r="S201" s="14"/>
    </row>
    <row r="202" spans="1:19" ht="12.75" customHeight="1">
      <c r="A202" s="1" t="s">
        <v>315</v>
      </c>
      <c r="B202" s="1" t="s">
        <v>316</v>
      </c>
      <c r="C202" s="1">
        <v>50</v>
      </c>
      <c r="D202" s="8" t="s">
        <v>317</v>
      </c>
      <c r="E202" s="37">
        <v>14.81</v>
      </c>
      <c r="F202" s="10">
        <f>E202*(1+$F$3)</f>
        <v>14.81</v>
      </c>
      <c r="G202" s="17">
        <f>F202*(1-(G$3*G$4))</f>
        <v>14.81</v>
      </c>
      <c r="H202" s="12" t="s">
        <v>318</v>
      </c>
      <c r="I202" s="17">
        <v>14.443</v>
      </c>
      <c r="J202" s="1">
        <f>I202*(1+$J$3)</f>
        <v>14.443</v>
      </c>
      <c r="K202" s="17">
        <f>J202*(1-(K$3*K$4))</f>
        <v>14.443</v>
      </c>
      <c r="L202" s="1">
        <v>116</v>
      </c>
      <c r="M202" s="1">
        <v>14</v>
      </c>
      <c r="O202" s="1">
        <f>L202+M202+N202</f>
        <v>130</v>
      </c>
      <c r="S202" s="14"/>
    </row>
    <row r="203" spans="2:19" ht="12.75" customHeight="1">
      <c r="B203" s="1" t="s">
        <v>319</v>
      </c>
      <c r="D203" s="15">
        <f>E202/E203-1</f>
        <v>0.22457416900942628</v>
      </c>
      <c r="E203" s="16">
        <v>12.094</v>
      </c>
      <c r="F203" s="10"/>
      <c r="H203" s="17" t="s">
        <v>320</v>
      </c>
      <c r="I203" s="18"/>
      <c r="J203" s="19"/>
      <c r="K203" s="20"/>
      <c r="S203" s="14"/>
    </row>
    <row r="204" spans="2:19" ht="12.75" customHeight="1">
      <c r="B204" s="1" t="s">
        <v>321</v>
      </c>
      <c r="D204" s="8" t="s">
        <v>322</v>
      </c>
      <c r="E204" s="22">
        <v>11.109</v>
      </c>
      <c r="F204" s="10">
        <f>E204*(1+$F$3)</f>
        <v>11.109</v>
      </c>
      <c r="G204" s="17">
        <f>F204*(1-(G$3*G$4))</f>
        <v>11.109</v>
      </c>
      <c r="H204" s="12" t="s">
        <v>323</v>
      </c>
      <c r="I204" s="1">
        <v>10.756</v>
      </c>
      <c r="J204" s="1">
        <f>I204*(1+$J$3)</f>
        <v>10.756</v>
      </c>
      <c r="K204" s="13">
        <f>J204*(1-(K$3*K$4))</f>
        <v>10.756</v>
      </c>
      <c r="S204" s="14"/>
    </row>
    <row r="205" spans="4:19" ht="12.75" customHeight="1">
      <c r="D205" s="15">
        <f>E204/E205-1</f>
        <v>0.21942919868276634</v>
      </c>
      <c r="E205" s="16">
        <v>9.11</v>
      </c>
      <c r="F205" s="10"/>
      <c r="G205" s="17"/>
      <c r="H205" s="12"/>
      <c r="K205" s="17"/>
      <c r="S205" s="14"/>
    </row>
    <row r="206" spans="2:19" ht="12.75" customHeight="1">
      <c r="B206" s="1" t="s">
        <v>324</v>
      </c>
      <c r="D206" s="8" t="s">
        <v>325</v>
      </c>
      <c r="E206" s="22">
        <v>12.615</v>
      </c>
      <c r="F206" s="10">
        <f>E206*(1+$F$3)</f>
        <v>12.615</v>
      </c>
      <c r="G206" s="13">
        <f>F206*(1-(G$3*G$4))</f>
        <v>12.615</v>
      </c>
      <c r="H206" s="1" t="s">
        <v>326</v>
      </c>
      <c r="I206" s="18"/>
      <c r="J206" s="19"/>
      <c r="K206" s="20"/>
      <c r="S206" s="14"/>
    </row>
    <row r="207" spans="4:19" ht="12.75" customHeight="1">
      <c r="D207" s="15">
        <f>E206/E207-1</f>
        <v>0.4575389948006934</v>
      </c>
      <c r="E207" s="16">
        <v>8.655</v>
      </c>
      <c r="F207" s="10"/>
      <c r="S207" s="14"/>
    </row>
    <row r="208" spans="1:19" ht="12.75" customHeight="1">
      <c r="A208" s="1" t="s">
        <v>327</v>
      </c>
      <c r="B208" s="1" t="s">
        <v>328</v>
      </c>
      <c r="C208" s="1">
        <v>50</v>
      </c>
      <c r="D208" s="40" t="s">
        <v>329</v>
      </c>
      <c r="E208" s="22">
        <v>11.387</v>
      </c>
      <c r="F208" s="10">
        <f>E208*(1+$F$3)</f>
        <v>11.387</v>
      </c>
      <c r="G208" s="17">
        <f>F208*(1-(G$3*G$4))</f>
        <v>11.387</v>
      </c>
      <c r="H208" s="12" t="s">
        <v>330</v>
      </c>
      <c r="I208" s="17">
        <v>10.756</v>
      </c>
      <c r="J208" s="1">
        <f>I208*(1+$J$3)</f>
        <v>10.756</v>
      </c>
      <c r="K208" s="13">
        <f>J208*(1-(K$3*K$4))</f>
        <v>10.756</v>
      </c>
      <c r="O208" s="1">
        <f>L208+M208+N208</f>
        <v>0</v>
      </c>
      <c r="P208" s="21" t="s">
        <v>327</v>
      </c>
      <c r="Q208" s="1">
        <v>100</v>
      </c>
      <c r="S208" s="14"/>
    </row>
    <row r="209" spans="4:19" ht="12.75" customHeight="1">
      <c r="D209" s="15">
        <f>E208/E209-1</f>
        <v>0.21942600128507195</v>
      </c>
      <c r="E209" s="16">
        <v>9.338</v>
      </c>
      <c r="F209" s="10"/>
      <c r="H209" s="17" t="s">
        <v>331</v>
      </c>
      <c r="I209" s="18"/>
      <c r="J209" s="19"/>
      <c r="K209" s="20"/>
      <c r="S209" s="14"/>
    </row>
    <row r="210" spans="6:19" ht="12.75" customHeight="1">
      <c r="F210" s="10"/>
      <c r="S210" s="14"/>
    </row>
    <row r="211" spans="1:19" ht="12.75" customHeight="1">
      <c r="A211" s="1" t="s">
        <v>332</v>
      </c>
      <c r="B211" s="1" t="s">
        <v>256</v>
      </c>
      <c r="D211" s="39" t="s">
        <v>333</v>
      </c>
      <c r="E211" s="21">
        <v>12.682</v>
      </c>
      <c r="F211" s="10">
        <f>E211*(1+$F$3)</f>
        <v>12.682</v>
      </c>
      <c r="G211" s="17">
        <f>F211*(1-(G$3*G$4))</f>
        <v>12.682</v>
      </c>
      <c r="H211" s="12" t="s">
        <v>334</v>
      </c>
      <c r="I211" s="17">
        <v>11.408</v>
      </c>
      <c r="J211" s="1">
        <f>I211*(1+$J$3)</f>
        <v>11.408</v>
      </c>
      <c r="K211" s="13">
        <f>J211*(1-(K$3*K$4))</f>
        <v>11.408</v>
      </c>
      <c r="S211" s="14"/>
    </row>
    <row r="212" spans="1:19" ht="12.75" customHeight="1">
      <c r="A212" s="1" t="s">
        <v>335</v>
      </c>
      <c r="D212" s="15">
        <f>E211/E212-1</f>
        <v>0.21046100983105842</v>
      </c>
      <c r="E212" s="1">
        <v>10.477</v>
      </c>
      <c r="F212" s="10"/>
      <c r="H212" s="17" t="s">
        <v>336</v>
      </c>
      <c r="J212" s="19"/>
      <c r="K212" s="20"/>
      <c r="S212" s="14"/>
    </row>
    <row r="213" spans="6:19" ht="12.75" customHeight="1">
      <c r="F213" s="10"/>
      <c r="S213" s="14"/>
    </row>
    <row r="214" spans="1:19" ht="12.75" customHeight="1">
      <c r="A214" s="1" t="s">
        <v>337</v>
      </c>
      <c r="B214" s="1" t="s">
        <v>338</v>
      </c>
      <c r="C214" s="1">
        <v>50</v>
      </c>
      <c r="D214" s="40" t="s">
        <v>339</v>
      </c>
      <c r="E214" s="22">
        <v>11.559</v>
      </c>
      <c r="F214" s="10">
        <f>E214*(1+$F$3)</f>
        <v>11.559</v>
      </c>
      <c r="G214" s="11">
        <f>F214*(1-(G$3*G$4))</f>
        <v>11.559</v>
      </c>
      <c r="H214" s="12" t="s">
        <v>334</v>
      </c>
      <c r="I214" s="17">
        <v>11.408</v>
      </c>
      <c r="J214" s="1">
        <f>I214*(1+$J$3)</f>
        <v>11.408</v>
      </c>
      <c r="K214" s="13">
        <f>J214*(1-(K$3*K$4))</f>
        <v>11.408</v>
      </c>
      <c r="L214" s="1">
        <v>6</v>
      </c>
      <c r="M214" s="1">
        <v>22</v>
      </c>
      <c r="O214" s="1">
        <f>L214+M214+N214</f>
        <v>28</v>
      </c>
      <c r="P214" s="21" t="s">
        <v>337</v>
      </c>
      <c r="Q214" s="1">
        <v>100</v>
      </c>
      <c r="S214" s="14"/>
    </row>
    <row r="215" spans="2:19" ht="12.75" customHeight="1">
      <c r="B215" s="1" t="s">
        <v>340</v>
      </c>
      <c r="D215" s="15">
        <f>E214/E215-1</f>
        <v>0.19757563199336925</v>
      </c>
      <c r="E215" s="16">
        <v>9.652</v>
      </c>
      <c r="F215" s="10"/>
      <c r="H215" s="17" t="s">
        <v>341</v>
      </c>
      <c r="J215" s="19"/>
      <c r="K215" s="28"/>
      <c r="L215" s="20"/>
      <c r="S215" s="14"/>
    </row>
    <row r="216" spans="2:19" ht="12.75" customHeight="1">
      <c r="B216" s="1" t="s">
        <v>342</v>
      </c>
      <c r="D216" s="40" t="s">
        <v>343</v>
      </c>
      <c r="E216" s="22">
        <v>11.571</v>
      </c>
      <c r="F216" s="10">
        <f>E216*(1+$F$3)</f>
        <v>11.571</v>
      </c>
      <c r="G216" s="11">
        <f>F216*(1-(G$3*G$4))</f>
        <v>11.571</v>
      </c>
      <c r="S216" s="14"/>
    </row>
    <row r="217" spans="4:19" ht="12.75" customHeight="1">
      <c r="D217" s="15">
        <f>E216/E217-1</f>
        <v>0.19436416184971095</v>
      </c>
      <c r="E217" s="16">
        <v>9.688</v>
      </c>
      <c r="F217" s="10"/>
      <c r="S217" s="14"/>
    </row>
    <row r="218" spans="4:19" ht="12.75" customHeight="1">
      <c r="D218" s="40" t="s">
        <v>344</v>
      </c>
      <c r="E218" s="22">
        <v>12.772</v>
      </c>
      <c r="F218" s="10">
        <f>E218*(1+$F$3)</f>
        <v>12.772</v>
      </c>
      <c r="G218" s="13">
        <f>F218*(1-(G$3*G$4))</f>
        <v>12.772</v>
      </c>
      <c r="S218" s="14"/>
    </row>
    <row r="219" spans="4:19" ht="12.75" customHeight="1">
      <c r="D219" s="15">
        <f>E218/E219-1</f>
        <v>0.21893491124260356</v>
      </c>
      <c r="E219" s="16">
        <v>10.478</v>
      </c>
      <c r="F219" s="10"/>
      <c r="S219" s="14"/>
    </row>
    <row r="220" spans="4:19" ht="12.75" customHeight="1">
      <c r="D220" s="40" t="s">
        <v>345</v>
      </c>
      <c r="E220" s="22">
        <v>12.787</v>
      </c>
      <c r="F220" s="10">
        <f>E220*(1+$F$3)</f>
        <v>12.787</v>
      </c>
      <c r="G220" s="13">
        <f>F220*(1-(G$3*G$4))</f>
        <v>12.787</v>
      </c>
      <c r="S220" s="14"/>
    </row>
    <row r="221" spans="4:19" ht="12.75" customHeight="1">
      <c r="D221" s="15">
        <f>E220/E221-1</f>
        <v>0.21560984884494738</v>
      </c>
      <c r="E221" s="16">
        <v>10.519</v>
      </c>
      <c r="F221" s="10"/>
      <c r="S221" s="14"/>
    </row>
    <row r="222" spans="6:19" ht="12.75" customHeight="1">
      <c r="F222" s="10"/>
      <c r="S222" s="14"/>
    </row>
    <row r="223" spans="1:19" ht="12.75" customHeight="1">
      <c r="A223" s="1" t="s">
        <v>346</v>
      </c>
      <c r="B223" s="1" t="s">
        <v>347</v>
      </c>
      <c r="C223" s="1">
        <v>50</v>
      </c>
      <c r="D223" s="8" t="s">
        <v>348</v>
      </c>
      <c r="E223" s="22">
        <v>5.086</v>
      </c>
      <c r="F223" s="10">
        <f>E223*(1+$F$3)</f>
        <v>5.086</v>
      </c>
      <c r="G223" s="13">
        <f>F223*(1-(G$3*G$4))</f>
        <v>5.086</v>
      </c>
      <c r="H223" s="12" t="s">
        <v>349</v>
      </c>
      <c r="I223" s="17">
        <v>4.961</v>
      </c>
      <c r="J223" s="1">
        <f>I223*(1+$J$3)</f>
        <v>4.961</v>
      </c>
      <c r="K223" s="17">
        <f>J223*(1-(K$3*K$4))</f>
        <v>4.961</v>
      </c>
      <c r="O223" s="1">
        <f>L223+M223+N223</f>
        <v>0</v>
      </c>
      <c r="S223" s="14"/>
    </row>
    <row r="224" spans="4:19" ht="12.75" customHeight="1">
      <c r="D224" s="15">
        <f>E223/E224-1</f>
        <v>0.26548892759392895</v>
      </c>
      <c r="E224" s="16">
        <v>4.019</v>
      </c>
      <c r="F224" s="10"/>
      <c r="H224" s="17"/>
      <c r="I224" s="18"/>
      <c r="J224" s="19"/>
      <c r="K224" s="20"/>
      <c r="S224" s="14"/>
    </row>
    <row r="225" spans="6:19" ht="12.75" customHeight="1">
      <c r="F225" s="10"/>
      <c r="S225" s="14"/>
    </row>
    <row r="226" spans="1:19" ht="12.75" customHeight="1">
      <c r="A226" s="1" t="s">
        <v>350</v>
      </c>
      <c r="B226" s="1" t="s">
        <v>351</v>
      </c>
      <c r="C226" s="1">
        <v>50</v>
      </c>
      <c r="D226" s="8" t="s">
        <v>352</v>
      </c>
      <c r="E226" s="22">
        <v>11.371</v>
      </c>
      <c r="F226" s="10">
        <f>E226*(1+$F$3)</f>
        <v>11.371</v>
      </c>
      <c r="G226" s="17">
        <f>F226*(1-(G$3*G$4))</f>
        <v>11.371</v>
      </c>
      <c r="H226" s="12" t="s">
        <v>353</v>
      </c>
      <c r="I226" s="17">
        <v>10.62</v>
      </c>
      <c r="J226" s="1">
        <f>I226*(1+$J$3)</f>
        <v>10.62</v>
      </c>
      <c r="K226" s="13">
        <f>J226*(1-(K$3*K$4))</f>
        <v>10.62</v>
      </c>
      <c r="L226" s="1">
        <f>13</f>
        <v>13</v>
      </c>
      <c r="O226" s="1">
        <f>L226+M226+N226</f>
        <v>13</v>
      </c>
      <c r="S226" s="14"/>
    </row>
    <row r="227" spans="4:19" ht="12.75" customHeight="1">
      <c r="D227" s="15">
        <f>E226/E227-1</f>
        <v>0.2496977689856028</v>
      </c>
      <c r="E227" s="16">
        <v>9.099</v>
      </c>
      <c r="F227" s="10"/>
      <c r="H227" s="17" t="s">
        <v>354</v>
      </c>
      <c r="I227" s="18"/>
      <c r="J227" s="19"/>
      <c r="K227" s="20"/>
      <c r="S227" s="14"/>
    </row>
    <row r="228" spans="4:19" ht="12.75" customHeight="1">
      <c r="D228" s="8" t="s">
        <v>355</v>
      </c>
      <c r="E228" s="37">
        <v>12</v>
      </c>
      <c r="F228" s="10">
        <f>E228*(1+$F$3)</f>
        <v>12</v>
      </c>
      <c r="G228" s="17">
        <f>F228*(1-(G$3*G$4))</f>
        <v>12</v>
      </c>
      <c r="S228" s="14"/>
    </row>
    <row r="229" spans="4:19" ht="12.75" customHeight="1">
      <c r="D229" s="15">
        <f>E228/E229-1</f>
        <v>0.2752391073326248</v>
      </c>
      <c r="E229" s="16">
        <v>9.41</v>
      </c>
      <c r="F229" s="10"/>
      <c r="S229" s="14"/>
    </row>
    <row r="230" spans="4:19" ht="12.75" customHeight="1">
      <c r="D230" s="17"/>
      <c r="F230" s="10"/>
      <c r="S230" s="14"/>
    </row>
    <row r="231" spans="1:19" ht="12.75" customHeight="1">
      <c r="A231" s="1" t="s">
        <v>356</v>
      </c>
      <c r="B231" s="1" t="s">
        <v>357</v>
      </c>
      <c r="C231" s="1">
        <v>100</v>
      </c>
      <c r="D231" s="8" t="s">
        <v>358</v>
      </c>
      <c r="E231" s="22">
        <v>11.455</v>
      </c>
      <c r="F231" s="10">
        <f>E231*(1+$F$3)</f>
        <v>11.455</v>
      </c>
      <c r="G231" s="13">
        <f>F231*(1-(G$3*G$4))</f>
        <v>11.455</v>
      </c>
      <c r="H231" s="12" t="s">
        <v>359</v>
      </c>
      <c r="I231" s="17">
        <v>11.069</v>
      </c>
      <c r="J231" s="1">
        <f>I231*(1+$J$3)</f>
        <v>11.069</v>
      </c>
      <c r="K231" s="17">
        <f>J231*(1-(K$3*K$4))</f>
        <v>11.069</v>
      </c>
      <c r="L231" s="1">
        <v>38</v>
      </c>
      <c r="M231" s="1">
        <v>21</v>
      </c>
      <c r="O231" s="1">
        <f>L231+M231+N231</f>
        <v>59</v>
      </c>
      <c r="P231" s="21" t="s">
        <v>356</v>
      </c>
      <c r="Q231" s="1" t="s">
        <v>360</v>
      </c>
      <c r="S231" s="14"/>
    </row>
    <row r="232" spans="2:19" ht="12.75" customHeight="1">
      <c r="B232" s="1" t="s">
        <v>361</v>
      </c>
      <c r="D232" s="15">
        <f>E231/E232-1</f>
        <v>0.2009855315579785</v>
      </c>
      <c r="E232" s="16">
        <v>9.538</v>
      </c>
      <c r="F232" s="10"/>
      <c r="H232" s="17" t="s">
        <v>362</v>
      </c>
      <c r="I232" s="18"/>
      <c r="J232" s="19"/>
      <c r="K232" s="20"/>
      <c r="S232" s="14"/>
    </row>
    <row r="233" spans="2:19" ht="12.75" customHeight="1">
      <c r="B233" s="1" t="s">
        <v>363</v>
      </c>
      <c r="D233" s="8" t="s">
        <v>364</v>
      </c>
      <c r="E233" s="22">
        <v>12.667</v>
      </c>
      <c r="F233" s="10">
        <f>E233*(1+$F$3)</f>
        <v>12.667</v>
      </c>
      <c r="G233" s="17">
        <f>F233*(1-(G$3*G$4))</f>
        <v>12.667</v>
      </c>
      <c r="S233" s="14"/>
    </row>
    <row r="234" spans="4:19" ht="12.75" customHeight="1">
      <c r="D234" s="15">
        <f>E233/E234-1</f>
        <v>0.22244740397606644</v>
      </c>
      <c r="E234" s="16">
        <v>10.362</v>
      </c>
      <c r="F234" s="10"/>
      <c r="S234" s="14"/>
    </row>
    <row r="235" spans="4:19" ht="12.75" customHeight="1">
      <c r="D235" s="17"/>
      <c r="F235" s="10"/>
      <c r="S235" s="14"/>
    </row>
    <row r="236" spans="1:20" ht="12.75" customHeight="1">
      <c r="A236" s="1" t="s">
        <v>365</v>
      </c>
      <c r="B236" s="1" t="s">
        <v>366</v>
      </c>
      <c r="C236" s="1">
        <v>50</v>
      </c>
      <c r="D236" s="8" t="s">
        <v>367</v>
      </c>
      <c r="E236" s="9">
        <v>13.937</v>
      </c>
      <c r="F236" s="10">
        <f>E236*(1+$F$3)</f>
        <v>13.937</v>
      </c>
      <c r="G236" s="13">
        <f>F236*(1-(G$3*G$4))</f>
        <v>13.937</v>
      </c>
      <c r="H236" s="12" t="s">
        <v>368</v>
      </c>
      <c r="I236" s="17">
        <v>13.599</v>
      </c>
      <c r="J236" s="1">
        <f>I236*(1+$J$3)</f>
        <v>13.599</v>
      </c>
      <c r="K236" s="17">
        <f>J236*(1-(K$3*K$4))</f>
        <v>13.599</v>
      </c>
      <c r="O236" s="1">
        <f>L236+M236+N236</f>
        <v>0</v>
      </c>
      <c r="R236" s="1">
        <v>60</v>
      </c>
      <c r="S236" s="14">
        <f>K236*R236</f>
        <v>815.94</v>
      </c>
      <c r="T236" s="1" t="s">
        <v>369</v>
      </c>
    </row>
    <row r="237" spans="4:19" ht="12.75" customHeight="1">
      <c r="D237" s="15">
        <f>E236/E237-1</f>
        <v>0.23511166253101723</v>
      </c>
      <c r="E237" s="16">
        <v>11.284</v>
      </c>
      <c r="F237" s="10"/>
      <c r="H237" s="17" t="s">
        <v>370</v>
      </c>
      <c r="I237" s="18"/>
      <c r="J237" s="19"/>
      <c r="K237" s="20"/>
      <c r="S237" s="14"/>
    </row>
    <row r="238" spans="6:19" ht="12.75" customHeight="1">
      <c r="F238" s="10"/>
      <c r="S238" s="14"/>
    </row>
    <row r="239" spans="1:19" ht="12.75" customHeight="1">
      <c r="A239" s="1" t="s">
        <v>371</v>
      </c>
      <c r="B239" s="1" t="s">
        <v>372</v>
      </c>
      <c r="D239" s="12" t="s">
        <v>373</v>
      </c>
      <c r="E239" s="9">
        <v>15.116</v>
      </c>
      <c r="F239" s="10">
        <f>E239*(1+$F$3)</f>
        <v>15.116</v>
      </c>
      <c r="G239" s="13">
        <f>F239*(1-(G$3*G$4))</f>
        <v>15.116</v>
      </c>
      <c r="H239" s="12" t="s">
        <v>374</v>
      </c>
      <c r="I239" s="1">
        <v>15.271</v>
      </c>
      <c r="J239" s="1">
        <f>I239*(1+$J$3)</f>
        <v>15.271</v>
      </c>
      <c r="K239" s="17">
        <f>J239*(1-(K$3*K$4))</f>
        <v>15.271</v>
      </c>
      <c r="L239" s="1">
        <v>99</v>
      </c>
      <c r="O239" s="1">
        <f>L239+M239+N239</f>
        <v>99</v>
      </c>
      <c r="S239" s="14"/>
    </row>
    <row r="240" spans="4:19" ht="12.75" customHeight="1">
      <c r="D240" s="15">
        <f>E239/E240-1</f>
        <v>0.22884318348101784</v>
      </c>
      <c r="E240" s="16">
        <v>12.301</v>
      </c>
      <c r="F240" s="10"/>
      <c r="H240" s="1" t="s">
        <v>375</v>
      </c>
      <c r="I240" s="18"/>
      <c r="J240" s="19"/>
      <c r="K240" s="20"/>
      <c r="S240" s="14"/>
    </row>
    <row r="241" spans="6:19" ht="12.75" customHeight="1">
      <c r="F241" s="10"/>
      <c r="S241" s="14"/>
    </row>
    <row r="242" spans="1:19" ht="12.75" customHeight="1">
      <c r="A242" s="1" t="s">
        <v>376</v>
      </c>
      <c r="B242" s="1" t="s">
        <v>377</v>
      </c>
      <c r="D242" s="8" t="s">
        <v>378</v>
      </c>
      <c r="E242" s="41">
        <v>16.06</v>
      </c>
      <c r="F242" s="10">
        <f>E242*(1+$F$3)</f>
        <v>16.06</v>
      </c>
      <c r="G242" s="13">
        <f>F242*(1-(G$3*G$4))</f>
        <v>16.06</v>
      </c>
      <c r="H242" s="12" t="s">
        <v>379</v>
      </c>
      <c r="I242" s="1">
        <v>18.767</v>
      </c>
      <c r="J242" s="1">
        <f>I242*(1+$J$3)</f>
        <v>18.767</v>
      </c>
      <c r="K242" s="17">
        <f>J242*(1-(K$3*K$4))</f>
        <v>18.767</v>
      </c>
      <c r="L242" s="1">
        <v>98</v>
      </c>
      <c r="O242" s="1">
        <f>L242+M242+N242</f>
        <v>98</v>
      </c>
      <c r="P242" s="21" t="s">
        <v>376</v>
      </c>
      <c r="Q242" s="1">
        <v>100</v>
      </c>
      <c r="S242" s="14"/>
    </row>
    <row r="243" spans="4:19" ht="12.75" customHeight="1">
      <c r="D243" s="15">
        <f>E242/E243-1</f>
        <v>0.23614532019704426</v>
      </c>
      <c r="E243" s="16">
        <v>12.992</v>
      </c>
      <c r="F243" s="10"/>
      <c r="H243" s="1" t="s">
        <v>380</v>
      </c>
      <c r="I243" s="18"/>
      <c r="J243" s="19"/>
      <c r="K243" s="20"/>
      <c r="S243" s="14"/>
    </row>
    <row r="244" spans="6:19" ht="12.75" customHeight="1">
      <c r="F244" s="10"/>
      <c r="S244" s="14"/>
    </row>
    <row r="245" spans="1:19" ht="12.75" customHeight="1">
      <c r="A245" s="1" t="s">
        <v>381</v>
      </c>
      <c r="B245" s="1" t="s">
        <v>382</v>
      </c>
      <c r="D245" s="8" t="s">
        <v>383</v>
      </c>
      <c r="E245" s="9">
        <v>23.191</v>
      </c>
      <c r="F245" s="10">
        <f>E245*(1+$F$3)</f>
        <v>23.191</v>
      </c>
      <c r="G245" s="13">
        <f>F245*(1-(G$3*G$4))</f>
        <v>23.191</v>
      </c>
      <c r="H245" s="12" t="s">
        <v>384</v>
      </c>
      <c r="I245" s="1">
        <v>25.057</v>
      </c>
      <c r="J245" s="1">
        <f>I245*(1+$J$3)</f>
        <v>25.057</v>
      </c>
      <c r="K245" s="17">
        <f>J245*(1-(K$3*K$4))</f>
        <v>25.057</v>
      </c>
      <c r="L245" s="1">
        <v>117</v>
      </c>
      <c r="O245" s="1">
        <f>L245+M245+N245</f>
        <v>117</v>
      </c>
      <c r="S245" s="14"/>
    </row>
    <row r="246" spans="4:19" ht="12.75" customHeight="1">
      <c r="D246" s="15">
        <f>E245/E246-1</f>
        <v>0.2860311650862306</v>
      </c>
      <c r="E246" s="16">
        <v>18.033</v>
      </c>
      <c r="F246" s="10"/>
      <c r="H246" s="1" t="s">
        <v>385</v>
      </c>
      <c r="I246" s="18"/>
      <c r="J246" s="19"/>
      <c r="K246" s="20"/>
      <c r="S246" s="14"/>
    </row>
    <row r="247" spans="6:19" ht="12.75" customHeight="1">
      <c r="F247" s="10"/>
      <c r="S247" s="14"/>
    </row>
    <row r="248" spans="1:19" ht="12.75" customHeight="1">
      <c r="A248" s="1" t="s">
        <v>386</v>
      </c>
      <c r="B248" s="1" t="s">
        <v>387</v>
      </c>
      <c r="D248" s="8" t="s">
        <v>388</v>
      </c>
      <c r="E248" s="9">
        <v>12.338</v>
      </c>
      <c r="F248" s="10">
        <f>E248*(1+$F$3)</f>
        <v>12.338</v>
      </c>
      <c r="G248" s="13">
        <f>F248*(1-(G$3*G$4))</f>
        <v>12.338</v>
      </c>
      <c r="K248" s="17"/>
      <c r="M248" s="1">
        <v>24</v>
      </c>
      <c r="O248" s="1">
        <f>L248+M248+N248</f>
        <v>24</v>
      </c>
      <c r="S248" s="14"/>
    </row>
    <row r="249" spans="4:19" ht="12.75" customHeight="1">
      <c r="D249" s="15">
        <f>E248/E249-1</f>
        <v>0.27537729997932603</v>
      </c>
      <c r="E249" s="16">
        <v>9.674</v>
      </c>
      <c r="F249" s="10"/>
      <c r="S249" s="14"/>
    </row>
    <row r="250" spans="6:19" ht="12.75" customHeight="1">
      <c r="F250" s="10"/>
      <c r="S250" s="14"/>
    </row>
    <row r="251" spans="6:19" ht="12.75" customHeight="1">
      <c r="F251" s="10"/>
      <c r="S251" s="14"/>
    </row>
    <row r="252" spans="1:19" ht="12.75" customHeight="1">
      <c r="A252" s="1" t="s">
        <v>389</v>
      </c>
      <c r="D252" s="12" t="s">
        <v>390</v>
      </c>
      <c r="E252" s="9">
        <v>6.577</v>
      </c>
      <c r="F252" s="10">
        <f>E252*(1+$F$3)</f>
        <v>6.577</v>
      </c>
      <c r="G252" s="13">
        <f>F252*(1-(G$3*G$4))</f>
        <v>6.577</v>
      </c>
      <c r="H252" s="12" t="s">
        <v>312</v>
      </c>
      <c r="I252" s="17">
        <v>7.739</v>
      </c>
      <c r="J252" s="1">
        <f>I252*(1+$J$3)</f>
        <v>7.739</v>
      </c>
      <c r="K252" s="17">
        <f>J252*(1-(K$3*K$4))</f>
        <v>7.739</v>
      </c>
      <c r="O252" s="1">
        <f>L252+M252+N252</f>
        <v>0</v>
      </c>
      <c r="S252" s="14"/>
    </row>
    <row r="253" spans="4:19" ht="12.75" customHeight="1">
      <c r="D253" s="15">
        <f>E252/E253-1</f>
        <v>0.2788255881781061</v>
      </c>
      <c r="E253" s="16">
        <v>5.143</v>
      </c>
      <c r="F253" s="10"/>
      <c r="H253" s="17" t="s">
        <v>314</v>
      </c>
      <c r="I253" s="18"/>
      <c r="J253" s="19"/>
      <c r="K253" s="20"/>
      <c r="S253" s="14"/>
    </row>
    <row r="254" spans="4:19" ht="12.75" customHeight="1">
      <c r="D254" s="12" t="s">
        <v>391</v>
      </c>
      <c r="E254" s="9">
        <v>5.954</v>
      </c>
      <c r="F254" s="10">
        <f>E254*(1+$F$3)</f>
        <v>5.954</v>
      </c>
      <c r="G254" s="13">
        <f>F254*(1-(G$3*G$4))</f>
        <v>5.954</v>
      </c>
      <c r="H254" s="12" t="s">
        <v>294</v>
      </c>
      <c r="I254" s="17">
        <v>6.417</v>
      </c>
      <c r="J254" s="1">
        <f>I254*(1+$J$3)</f>
        <v>6.417</v>
      </c>
      <c r="K254" s="17">
        <f>J254*(1-(K$3*K$4))</f>
        <v>6.417</v>
      </c>
      <c r="S254" s="14"/>
    </row>
    <row r="255" spans="4:19" ht="12.75" customHeight="1">
      <c r="D255" s="15">
        <f>E254/E255-1</f>
        <v>0.26224295102819584</v>
      </c>
      <c r="E255" s="16">
        <v>4.717</v>
      </c>
      <c r="H255" s="17" t="s">
        <v>295</v>
      </c>
      <c r="I255" s="18"/>
      <c r="J255" s="19"/>
      <c r="K255" s="20"/>
      <c r="S255" s="14"/>
    </row>
    <row r="256" spans="7:19" ht="12.75" customHeight="1">
      <c r="G256" s="33"/>
      <c r="S256" s="14"/>
    </row>
    <row r="257" spans="2:19" ht="12.75" customHeight="1">
      <c r="B257" s="1" t="s">
        <v>392</v>
      </c>
      <c r="D257" s="1" t="s">
        <v>393</v>
      </c>
      <c r="E257" s="9">
        <v>20.06</v>
      </c>
      <c r="F257" s="1">
        <f>E257*(1+$F$3)</f>
        <v>20.06</v>
      </c>
      <c r="G257" s="13">
        <f>F257*(1-(G$3*G$4))</f>
        <v>20.06</v>
      </c>
      <c r="J257" s="1">
        <f>I257*(1+$J$3)</f>
        <v>0</v>
      </c>
      <c r="K257" s="17">
        <f>J257*(1-(K$3*K$4))</f>
        <v>0</v>
      </c>
      <c r="S257" s="14"/>
    </row>
    <row r="258" spans="4:19" ht="12.75" customHeight="1">
      <c r="D258" s="15">
        <f>E257/E258-1</f>
        <v>0.031044407894736725</v>
      </c>
      <c r="E258" s="16">
        <v>19.456</v>
      </c>
      <c r="S258" s="14"/>
    </row>
    <row r="259" spans="1:19" ht="12.75" customHeight="1">
      <c r="A259" s="1" t="s">
        <v>394</v>
      </c>
      <c r="D259" s="35" t="s">
        <v>395</v>
      </c>
      <c r="E259" s="9">
        <v>18.949</v>
      </c>
      <c r="S259" s="14"/>
    </row>
    <row r="260" spans="4:19" ht="12.75" customHeight="1">
      <c r="D260" s="15">
        <f>E259/E260-1</f>
        <v>0.19521887220890632</v>
      </c>
      <c r="E260" s="16">
        <v>15.854</v>
      </c>
      <c r="S260" s="14"/>
    </row>
    <row r="261" spans="4:5" ht="12.75" customHeight="1">
      <c r="D261" s="35" t="s">
        <v>396</v>
      </c>
      <c r="E261" s="9">
        <v>17.393</v>
      </c>
    </row>
    <row r="262" spans="1:5" ht="12.75" customHeight="1">
      <c r="A262" s="1" t="s">
        <v>397</v>
      </c>
      <c r="D262" s="15">
        <f>E261/E262-1</f>
        <v>0.1536879808967897</v>
      </c>
      <c r="E262" s="16">
        <v>15.076</v>
      </c>
    </row>
    <row r="263" spans="17:19" ht="12.75" customHeight="1">
      <c r="Q263" s="7" t="s">
        <v>398</v>
      </c>
      <c r="R263" s="1">
        <f>SUM(R6:R262)</f>
        <v>3360</v>
      </c>
      <c r="S263" s="1">
        <f>SUM(S6:S262)</f>
        <v>13453.740000000002</v>
      </c>
    </row>
    <row r="264" ht="14.25"/>
    <row r="265" spans="1:11" ht="12.75" customHeight="1">
      <c r="A265" s="1" t="s">
        <v>399</v>
      </c>
      <c r="D265" s="8" t="s">
        <v>400</v>
      </c>
      <c r="E265" s="9">
        <v>16.211</v>
      </c>
      <c r="F265" s="10">
        <f>E265*(1+$F$3)</f>
        <v>16.211</v>
      </c>
      <c r="G265" s="13">
        <f>F265*(1-(G$3*G$4))</f>
        <v>16.211</v>
      </c>
      <c r="H265" s="12" t="s">
        <v>401</v>
      </c>
      <c r="I265" s="17">
        <v>22.03</v>
      </c>
      <c r="J265" s="1">
        <f>I265*(1+$J$3)</f>
        <v>22.03</v>
      </c>
      <c r="K265" s="17">
        <f>J265*(1-(K$3*K$4))</f>
        <v>22.03</v>
      </c>
    </row>
    <row r="266" spans="4:11" ht="12.75" customHeight="1">
      <c r="D266" s="15">
        <f>E265/E266-1</f>
        <v>0.10151525446762233</v>
      </c>
      <c r="E266" s="16">
        <v>14.717</v>
      </c>
      <c r="H266" s="17" t="s">
        <v>402</v>
      </c>
      <c r="I266" s="18"/>
      <c r="J266" s="19"/>
      <c r="K266" s="20"/>
    </row>
    <row r="267" spans="1:11" ht="12.75" customHeight="1">
      <c r="A267" s="1" t="s">
        <v>403</v>
      </c>
      <c r="D267" s="8" t="s">
        <v>404</v>
      </c>
      <c r="E267" s="9">
        <v>23.854</v>
      </c>
      <c r="F267" s="10">
        <f>E267*(1+$F$3)</f>
        <v>23.854</v>
      </c>
      <c r="G267" s="13">
        <f>F267*(1-(G$3*G$4))</f>
        <v>23.854</v>
      </c>
      <c r="H267" s="12" t="s">
        <v>405</v>
      </c>
      <c r="I267" s="17">
        <v>20.444</v>
      </c>
      <c r="J267" s="1">
        <f>I267*(1+$J$3)</f>
        <v>20.444</v>
      </c>
      <c r="K267" s="17">
        <f>J267*(1-(K$3*K$4))</f>
        <v>20.444</v>
      </c>
    </row>
    <row r="268" spans="4:11" ht="12.75" customHeight="1">
      <c r="D268" s="15">
        <f>E267/E268-1</f>
        <v>0.1855275582724516</v>
      </c>
      <c r="E268" s="16">
        <v>20.121</v>
      </c>
      <c r="I268" s="18"/>
      <c r="J268" s="19"/>
      <c r="K268" s="20"/>
    </row>
    <row r="269" spans="4:8" ht="12.75" customHeight="1">
      <c r="D269" s="35" t="s">
        <v>395</v>
      </c>
      <c r="E269" s="9">
        <v>18.949</v>
      </c>
      <c r="F269" s="10">
        <f>E269*(1+$F$3)</f>
        <v>18.949</v>
      </c>
      <c r="G269" s="13">
        <f>F269*(1-(G$3*G$4))</f>
        <v>18.949</v>
      </c>
      <c r="H269" s="17" t="s">
        <v>406</v>
      </c>
    </row>
    <row r="270" spans="4:5" ht="12.75" customHeight="1">
      <c r="D270" s="15">
        <f>E269/E270-1</f>
        <v>0.19521887220890632</v>
      </c>
      <c r="E270" s="16">
        <v>15.854</v>
      </c>
    </row>
    <row r="271" spans="4:7" ht="12.75" customHeight="1">
      <c r="D271" s="35" t="s">
        <v>396</v>
      </c>
      <c r="E271" s="9">
        <v>17.393</v>
      </c>
      <c r="F271" s="10">
        <f>E271*(1+$F$3)</f>
        <v>17.393</v>
      </c>
      <c r="G271" s="13">
        <f>F271*(1-(G$3*G$4))</f>
        <v>17.393</v>
      </c>
    </row>
    <row r="272" spans="4:5" ht="12.75" customHeight="1">
      <c r="D272" s="15">
        <f>E271/E272-1</f>
        <v>0.1536879808967897</v>
      </c>
      <c r="E272" s="16">
        <v>15.076</v>
      </c>
    </row>
    <row r="273" spans="4:7" ht="12.75" customHeight="1">
      <c r="D273" s="42" t="s">
        <v>407</v>
      </c>
      <c r="E273" s="9">
        <v>17.799</v>
      </c>
      <c r="F273" s="10">
        <f>E273*(1+$F$3)</f>
        <v>17.799</v>
      </c>
      <c r="G273" s="13">
        <f>F273*(1-(G$3*G$4))</f>
        <v>17.799</v>
      </c>
    </row>
    <row r="274" spans="4:5" ht="12.75" customHeight="1">
      <c r="D274" s="15">
        <f>E273/E274-1</f>
        <v>0.20312288765715825</v>
      </c>
      <c r="E274" s="16">
        <v>14.794</v>
      </c>
    </row>
    <row r="276" spans="8:11" ht="12.75" customHeight="1">
      <c r="H276" s="12" t="s">
        <v>408</v>
      </c>
      <c r="I276" s="17">
        <v>12.383</v>
      </c>
      <c r="J276" s="1">
        <f>I276*(1+$J$3)</f>
        <v>12.383</v>
      </c>
      <c r="K276" s="13">
        <f>J276*(1-(K$3*K$4))</f>
        <v>12.383</v>
      </c>
    </row>
    <row r="277" ht="12.75" customHeight="1">
      <c r="H277" s="1" t="s">
        <v>409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7"/>
  <sheetViews>
    <sheetView zoomScaleSheetLayoutView="10" workbookViewId="0" topLeftCell="A140">
      <selection activeCell="A177" sqref="A177"/>
    </sheetView>
  </sheetViews>
  <sheetFormatPr defaultColWidth="11.421875" defaultRowHeight="12.75"/>
  <cols>
    <col min="1" max="1" width="33.28125" style="1" customWidth="1"/>
    <col min="2" max="2" width="13.00390625" style="1" customWidth="1"/>
    <col min="3" max="4" width="0" style="1" hidden="1" customWidth="1"/>
    <col min="5" max="5" width="14.00390625" style="43" customWidth="1"/>
    <col min="6" max="6" width="0" style="1" hidden="1" customWidth="1"/>
    <col min="7" max="7" width="13.00390625" style="1" customWidth="1"/>
    <col min="8" max="8" width="13.57421875" style="1" customWidth="1"/>
    <col min="9" max="9" width="19.7109375" style="1" customWidth="1"/>
    <col min="10" max="10" width="13.28125" style="1" customWidth="1"/>
    <col min="11" max="11" width="13.57421875" style="1" customWidth="1"/>
    <col min="12" max="12" width="13.7109375" style="1" customWidth="1"/>
    <col min="13" max="13" width="16.57421875" style="1" customWidth="1"/>
    <col min="14" max="15" width="11.8515625" style="1" customWidth="1"/>
    <col min="16" max="16" width="11.28125" style="1" customWidth="1"/>
    <col min="17" max="17" width="18.28125" style="1" customWidth="1"/>
    <col min="18" max="19" width="11.421875" style="1" customWidth="1"/>
    <col min="20" max="20" width="12.421875" style="1" customWidth="1"/>
    <col min="21" max="16384" width="11.421875" style="1" customWidth="1"/>
  </cols>
  <sheetData>
    <row r="1" spans="3:20" ht="19.5" customHeight="1">
      <c r="C1" s="44" t="s">
        <v>410</v>
      </c>
      <c r="D1" s="44" t="s">
        <v>411</v>
      </c>
      <c r="E1" s="45" t="s">
        <v>412</v>
      </c>
      <c r="F1" s="45" t="s">
        <v>412</v>
      </c>
      <c r="G1" s="45" t="s">
        <v>412</v>
      </c>
      <c r="H1" s="46" t="s">
        <v>412</v>
      </c>
      <c r="I1" s="47" t="s">
        <v>413</v>
      </c>
      <c r="J1" s="47" t="s">
        <v>413</v>
      </c>
      <c r="K1" s="47" t="s">
        <v>413</v>
      </c>
      <c r="L1" s="47" t="s">
        <v>413</v>
      </c>
      <c r="M1" s="44" t="s">
        <v>414</v>
      </c>
      <c r="N1" s="44" t="s">
        <v>414</v>
      </c>
      <c r="O1" s="44" t="s">
        <v>414</v>
      </c>
      <c r="P1" s="44" t="s">
        <v>414</v>
      </c>
      <c r="Q1" s="44" t="s">
        <v>1</v>
      </c>
      <c r="R1" s="44" t="s">
        <v>1</v>
      </c>
      <c r="S1" s="44" t="s">
        <v>1</v>
      </c>
      <c r="T1" s="44" t="s">
        <v>1</v>
      </c>
    </row>
    <row r="2" spans="4:20" ht="26.25" customHeight="1">
      <c r="D2" s="48"/>
      <c r="E2" s="49" t="s">
        <v>2</v>
      </c>
      <c r="F2" s="49" t="s">
        <v>3</v>
      </c>
      <c r="G2" s="49" t="s">
        <v>4</v>
      </c>
      <c r="H2" s="49" t="s">
        <v>5</v>
      </c>
      <c r="I2" s="49" t="s">
        <v>2</v>
      </c>
      <c r="J2" s="49" t="s">
        <v>3</v>
      </c>
      <c r="K2" s="49" t="s">
        <v>4</v>
      </c>
      <c r="L2" s="49" t="s">
        <v>5</v>
      </c>
      <c r="M2" s="49" t="s">
        <v>2</v>
      </c>
      <c r="N2" s="49" t="s">
        <v>3</v>
      </c>
      <c r="O2" s="49" t="s">
        <v>4</v>
      </c>
      <c r="P2" s="49" t="s">
        <v>5</v>
      </c>
      <c r="Q2" s="49" t="s">
        <v>2</v>
      </c>
      <c r="R2" s="49" t="s">
        <v>3</v>
      </c>
      <c r="S2" s="49" t="s">
        <v>4</v>
      </c>
      <c r="T2" s="49" t="s">
        <v>5</v>
      </c>
    </row>
    <row r="3" spans="4:20" ht="12.75" customHeight="1">
      <c r="D3" s="5"/>
      <c r="E3" s="5"/>
      <c r="G3" s="6">
        <v>0</v>
      </c>
      <c r="H3" s="6">
        <v>0</v>
      </c>
      <c r="I3" s="5"/>
      <c r="K3" s="6">
        <v>0.1</v>
      </c>
      <c r="L3" s="6">
        <v>0</v>
      </c>
      <c r="M3" s="5"/>
      <c r="O3" s="6">
        <v>0.2528</v>
      </c>
      <c r="P3" s="6">
        <v>0.05</v>
      </c>
      <c r="Q3" s="5"/>
      <c r="S3" s="6">
        <v>0</v>
      </c>
      <c r="T3" s="6">
        <v>0</v>
      </c>
    </row>
    <row r="4" spans="4:20" ht="19.5" customHeight="1">
      <c r="D4" s="5"/>
      <c r="E4" s="5"/>
      <c r="G4" s="7" t="s">
        <v>9</v>
      </c>
      <c r="H4" s="6">
        <v>0.5</v>
      </c>
      <c r="I4" s="5"/>
      <c r="K4" s="7" t="s">
        <v>9</v>
      </c>
      <c r="L4" s="6">
        <v>0.5</v>
      </c>
      <c r="M4" s="5"/>
      <c r="O4" s="7" t="s">
        <v>9</v>
      </c>
      <c r="P4" s="6">
        <v>1</v>
      </c>
      <c r="Q4" s="5"/>
      <c r="S4" s="7" t="s">
        <v>9</v>
      </c>
      <c r="T4" s="6">
        <v>1</v>
      </c>
    </row>
    <row r="5" spans="1:20" ht="12.75" customHeight="1">
      <c r="A5" s="1" t="s">
        <v>415</v>
      </c>
      <c r="B5" s="1" t="s">
        <v>23</v>
      </c>
      <c r="C5" s="1">
        <v>100</v>
      </c>
      <c r="D5" s="1">
        <f>SUM(E5:M5)</f>
        <v>19.4964</v>
      </c>
      <c r="E5" s="50" t="s">
        <v>416</v>
      </c>
      <c r="F5" s="1">
        <v>2.95</v>
      </c>
      <c r="G5" s="17">
        <f>F5*(1+G$3)</f>
        <v>2.95</v>
      </c>
      <c r="H5" s="13">
        <f>ROUND(G5*(1+H$3),2)</f>
        <v>2.95</v>
      </c>
      <c r="I5" s="50" t="s">
        <v>417</v>
      </c>
      <c r="J5" s="1">
        <v>3.327</v>
      </c>
      <c r="K5" s="17">
        <f>J5*(1+K$3)</f>
        <v>3.6597000000000004</v>
      </c>
      <c r="L5" s="17">
        <f>K5*(1-(L$3*L$4))</f>
        <v>3.6597000000000004</v>
      </c>
      <c r="M5" s="51" t="s">
        <v>418</v>
      </c>
      <c r="Q5" s="43" t="s">
        <v>418</v>
      </c>
      <c r="R5" s="1">
        <v>0</v>
      </c>
      <c r="S5" s="17">
        <f>R5*(1+S$3)</f>
        <v>0</v>
      </c>
      <c r="T5" s="17">
        <f>S5*(1-(T$3*T$4))</f>
        <v>0</v>
      </c>
    </row>
    <row r="6" spans="9:17" ht="12.75" customHeight="1">
      <c r="I6" s="52"/>
      <c r="J6" s="17"/>
      <c r="K6" s="53" t="s">
        <v>419</v>
      </c>
      <c r="L6" s="11">
        <f>K5*(1-L$3)</f>
        <v>3.6597000000000004</v>
      </c>
      <c r="M6" s="51"/>
      <c r="Q6" s="43"/>
    </row>
    <row r="7" spans="5:17" ht="12.75" customHeight="1">
      <c r="E7" s="52"/>
      <c r="I7" s="43"/>
      <c r="M7" s="51"/>
      <c r="Q7" s="43"/>
    </row>
    <row r="8" spans="1:20" ht="12.75" customHeight="1">
      <c r="A8" s="1" t="s">
        <v>420</v>
      </c>
      <c r="B8" s="1" t="s">
        <v>33</v>
      </c>
      <c r="C8" s="1">
        <v>500</v>
      </c>
      <c r="D8" s="1">
        <f>SUM(E8:M8)</f>
        <v>3006752.5364</v>
      </c>
      <c r="E8" s="50" t="s">
        <v>421</v>
      </c>
      <c r="F8" s="1">
        <v>2.95</v>
      </c>
      <c r="G8" s="17">
        <f>F8*(1+G$3)</f>
        <v>2.95</v>
      </c>
      <c r="H8" s="13">
        <f>ROUND(G8*(1+H$3),2)</f>
        <v>2.95</v>
      </c>
      <c r="I8" s="50" t="s">
        <v>422</v>
      </c>
      <c r="J8" s="1">
        <v>3.027</v>
      </c>
      <c r="K8" s="17">
        <f>J8*(1+K$3)</f>
        <v>3.3297000000000003</v>
      </c>
      <c r="L8" s="11">
        <f>K8*(1-(L$3*L$4))</f>
        <v>3.3297000000000003</v>
      </c>
      <c r="M8" s="54">
        <v>3006734</v>
      </c>
      <c r="N8" s="1">
        <v>2.5</v>
      </c>
      <c r="O8" s="17">
        <f>N8*(1+O$3)</f>
        <v>3.1320000000000006</v>
      </c>
      <c r="P8" s="17">
        <f>O8*(1-(P$3*P$4))</f>
        <v>2.9754000000000005</v>
      </c>
      <c r="Q8" s="43" t="s">
        <v>418</v>
      </c>
      <c r="R8" s="1">
        <v>0</v>
      </c>
      <c r="S8" s="17">
        <f>R8*(1+S$3)</f>
        <v>0</v>
      </c>
      <c r="T8" s="17">
        <f>S8*(1-(T$3*T$4))</f>
        <v>0</v>
      </c>
    </row>
    <row r="9" spans="2:17" ht="12.75" customHeight="1">
      <c r="B9" s="1" t="s">
        <v>16</v>
      </c>
      <c r="I9" s="52"/>
      <c r="J9" s="17"/>
      <c r="K9" s="53" t="s">
        <v>419</v>
      </c>
      <c r="L9" s="13">
        <f>K8*(1-L$3)</f>
        <v>3.3297000000000003</v>
      </c>
      <c r="M9" s="51"/>
      <c r="Q9" s="43"/>
    </row>
    <row r="10" spans="2:17" ht="12.75" customHeight="1">
      <c r="B10" s="1" t="s">
        <v>27</v>
      </c>
      <c r="I10" s="43"/>
      <c r="M10" s="51"/>
      <c r="Q10" s="43"/>
    </row>
    <row r="11" spans="9:17" ht="12.75" customHeight="1">
      <c r="I11" s="43"/>
      <c r="M11" s="51"/>
      <c r="Q11" s="43"/>
    </row>
    <row r="12" spans="1:20" ht="12.75" customHeight="1">
      <c r="A12" s="1" t="s">
        <v>423</v>
      </c>
      <c r="B12" s="1" t="s">
        <v>30</v>
      </c>
      <c r="C12" s="1">
        <v>200</v>
      </c>
      <c r="D12" s="1">
        <f>SUM(E12:M12)</f>
        <v>3006738.5364</v>
      </c>
      <c r="E12" s="50" t="s">
        <v>424</v>
      </c>
      <c r="F12" s="1">
        <v>2.95</v>
      </c>
      <c r="G12" s="17">
        <f>F12*(1+G$3)</f>
        <v>2.95</v>
      </c>
      <c r="H12" s="13">
        <f>ROUND(G12*(1+H$3),2)</f>
        <v>2.95</v>
      </c>
      <c r="I12" s="55" t="s">
        <v>425</v>
      </c>
      <c r="J12" s="1">
        <v>3.027</v>
      </c>
      <c r="K12" s="17">
        <f>J12*(1+K$3)</f>
        <v>3.3297000000000003</v>
      </c>
      <c r="L12" s="11">
        <f>K12*(1-(L$3*L$4))</f>
        <v>3.3297000000000003</v>
      </c>
      <c r="M12" s="54">
        <v>3006720</v>
      </c>
      <c r="N12" s="1">
        <v>2.5</v>
      </c>
      <c r="O12" s="17">
        <f>N12*(1+O$3)</f>
        <v>3.1320000000000006</v>
      </c>
      <c r="P12" s="17">
        <f>O12*(1-(P$3*P$4))</f>
        <v>2.9754000000000005</v>
      </c>
      <c r="Q12" s="43" t="s">
        <v>418</v>
      </c>
      <c r="R12" s="1">
        <v>0</v>
      </c>
      <c r="S12" s="17">
        <f>R12*(1+S$3)</f>
        <v>0</v>
      </c>
      <c r="T12" s="17">
        <f>S12*(1-(T$3*T$4))</f>
        <v>0</v>
      </c>
    </row>
    <row r="13" spans="2:17" ht="12.75" customHeight="1">
      <c r="B13" s="1" t="s">
        <v>20</v>
      </c>
      <c r="I13" s="52"/>
      <c r="J13" s="17"/>
      <c r="K13" s="53" t="s">
        <v>419</v>
      </c>
      <c r="L13" s="13">
        <f>K12*(1-L$3)</f>
        <v>3.3297000000000003</v>
      </c>
      <c r="M13" s="51"/>
      <c r="Q13" s="43"/>
    </row>
    <row r="14" spans="9:17" ht="12.75" customHeight="1">
      <c r="I14" s="43"/>
      <c r="M14" s="51"/>
      <c r="Q14" s="43"/>
    </row>
    <row r="15" spans="9:17" ht="12.75" customHeight="1">
      <c r="I15" s="52"/>
      <c r="J15" s="17"/>
      <c r="M15" s="51"/>
      <c r="Q15" s="43"/>
    </row>
    <row r="16" spans="1:17" ht="12.75" customHeight="1">
      <c r="A16" s="1" t="s">
        <v>426</v>
      </c>
      <c r="B16" s="1" t="s">
        <v>89</v>
      </c>
      <c r="E16" s="50" t="s">
        <v>427</v>
      </c>
      <c r="F16" s="1">
        <v>3.05</v>
      </c>
      <c r="G16" s="17">
        <f>F16*(1+G$3)</f>
        <v>3.05</v>
      </c>
      <c r="H16" s="13">
        <f>ROUND(G16*(1+H$3),2)</f>
        <v>3.05</v>
      </c>
      <c r="I16" s="43" t="s">
        <v>428</v>
      </c>
      <c r="J16" s="1">
        <v>3.722</v>
      </c>
      <c r="K16" s="17">
        <f>J16*(1+K$3)</f>
        <v>4.094200000000001</v>
      </c>
      <c r="L16" s="17">
        <f>K16*(1-(L$3*L$4))</f>
        <v>4.094200000000001</v>
      </c>
      <c r="M16" s="51"/>
      <c r="Q16" s="43"/>
    </row>
    <row r="17" spans="9:17" ht="12.75" customHeight="1">
      <c r="I17" s="52"/>
      <c r="J17" s="17"/>
      <c r="K17" s="53" t="s">
        <v>419</v>
      </c>
      <c r="L17" s="17">
        <f>K16*(1-L$3)</f>
        <v>4.094200000000001</v>
      </c>
      <c r="M17" s="51"/>
      <c r="Q17" s="43"/>
    </row>
    <row r="18" spans="9:17" ht="12.75" customHeight="1">
      <c r="I18" s="52"/>
      <c r="J18" s="17"/>
      <c r="M18" s="51"/>
      <c r="Q18" s="43"/>
    </row>
    <row r="19" spans="9:17" ht="12.75" customHeight="1">
      <c r="I19" s="43"/>
      <c r="M19" s="51"/>
      <c r="Q19" s="43"/>
    </row>
    <row r="20" spans="1:20" ht="12.75" customHeight="1">
      <c r="A20" s="56" t="s">
        <v>429</v>
      </c>
      <c r="B20" s="1" t="s">
        <v>61</v>
      </c>
      <c r="C20" s="1">
        <v>600</v>
      </c>
      <c r="D20" s="1">
        <f>SUM(E20:M20)</f>
        <v>3007552.6923999996</v>
      </c>
      <c r="E20" s="50" t="s">
        <v>430</v>
      </c>
      <c r="F20" s="1">
        <v>3.05</v>
      </c>
      <c r="G20" s="17">
        <f>F20*(1+G$3)</f>
        <v>3.05</v>
      </c>
      <c r="H20" s="11">
        <f>ROUND(G20*(1+H$3),2)</f>
        <v>3.05</v>
      </c>
      <c r="I20" s="50" t="s">
        <v>431</v>
      </c>
      <c r="J20" s="1">
        <v>2.982</v>
      </c>
      <c r="K20" s="17">
        <f>J20*(1+K$3)</f>
        <v>3.2802000000000007</v>
      </c>
      <c r="L20" s="57">
        <f>K20*(1-(L$3*L$4))</f>
        <v>3.2802000000000007</v>
      </c>
      <c r="M20" s="54">
        <v>3007534</v>
      </c>
      <c r="N20" s="1">
        <v>2.05</v>
      </c>
      <c r="O20" s="17">
        <f>N20*(1+O$3)</f>
        <v>2.56824</v>
      </c>
      <c r="P20" s="11">
        <f>O20*(1-(P$3*P$4))</f>
        <v>2.439828</v>
      </c>
      <c r="Q20" s="43" t="s">
        <v>432</v>
      </c>
      <c r="R20" s="1">
        <v>2.304</v>
      </c>
      <c r="S20" s="17">
        <f>R20*(1+S$3)</f>
        <v>2.304</v>
      </c>
      <c r="T20" s="17">
        <f>S20*(1-(T$3*T$4))</f>
        <v>2.304</v>
      </c>
    </row>
    <row r="21" spans="2:17" ht="12.75" customHeight="1">
      <c r="B21" s="1" t="s">
        <v>41</v>
      </c>
      <c r="F21" s="17"/>
      <c r="G21" s="17"/>
      <c r="H21" s="17"/>
      <c r="I21" s="52"/>
      <c r="J21" s="17"/>
      <c r="K21" s="53" t="s">
        <v>419</v>
      </c>
      <c r="L21" s="17">
        <f>K20*(1-L$3)</f>
        <v>3.2802000000000007</v>
      </c>
      <c r="M21" s="51"/>
      <c r="N21" s="17"/>
      <c r="Q21" s="52"/>
    </row>
    <row r="22" spans="2:17" ht="12.75" customHeight="1">
      <c r="B22" s="1" t="s">
        <v>78</v>
      </c>
      <c r="M22" s="51"/>
      <c r="Q22" s="43"/>
    </row>
    <row r="23" spans="2:17" ht="12.75" customHeight="1">
      <c r="B23" s="1" t="s">
        <v>44</v>
      </c>
      <c r="M23" s="51"/>
      <c r="Q23" s="43"/>
    </row>
    <row r="24" spans="2:17" ht="12.75" customHeight="1">
      <c r="B24" s="1" t="s">
        <v>84</v>
      </c>
      <c r="M24" s="51"/>
      <c r="Q24" s="43"/>
    </row>
    <row r="25" spans="2:13" ht="12.75" customHeight="1">
      <c r="B25" s="1" t="s">
        <v>73</v>
      </c>
      <c r="M25" s="51"/>
    </row>
    <row r="26" spans="2:13" ht="12.75" customHeight="1">
      <c r="B26" s="1" t="s">
        <v>114</v>
      </c>
      <c r="M26" s="51"/>
    </row>
    <row r="27" spans="2:13" ht="12.75" customHeight="1">
      <c r="B27" s="1" t="s">
        <v>118</v>
      </c>
      <c r="M27" s="51"/>
    </row>
    <row r="28" spans="2:13" ht="12.75" customHeight="1">
      <c r="B28" s="1" t="s">
        <v>85</v>
      </c>
      <c r="M28" s="51"/>
    </row>
    <row r="29" spans="2:13" ht="12.75" customHeight="1">
      <c r="B29" s="1" t="s">
        <v>123</v>
      </c>
      <c r="M29" s="51"/>
    </row>
    <row r="30" spans="2:13" ht="12.75" customHeight="1">
      <c r="B30" s="1" t="s">
        <v>48</v>
      </c>
      <c r="M30" s="51"/>
    </row>
    <row r="31" spans="2:13" ht="12.75" customHeight="1">
      <c r="B31" s="1" t="s">
        <v>68</v>
      </c>
      <c r="M31" s="51"/>
    </row>
    <row r="32" ht="12.75" customHeight="1">
      <c r="M32" s="51"/>
    </row>
    <row r="33" spans="1:20" ht="12.75" customHeight="1">
      <c r="A33" s="56" t="s">
        <v>433</v>
      </c>
      <c r="B33" s="1" t="s">
        <v>104</v>
      </c>
      <c r="C33" s="1">
        <v>100</v>
      </c>
      <c r="D33" s="1">
        <f>SUM(E33:M33)</f>
        <v>30075337.0604</v>
      </c>
      <c r="E33" s="50" t="s">
        <v>434</v>
      </c>
      <c r="F33" s="1">
        <v>3.05</v>
      </c>
      <c r="G33" s="17">
        <f>F33*(1+G$3)</f>
        <v>3.05</v>
      </c>
      <c r="H33" s="13">
        <f>ROUND(G33*(1+H$3),2)</f>
        <v>3.05</v>
      </c>
      <c r="I33" s="43" t="s">
        <v>435</v>
      </c>
      <c r="J33" s="1">
        <v>3.722</v>
      </c>
      <c r="K33" s="17">
        <f>J33*(1+K$3)</f>
        <v>4.094200000000001</v>
      </c>
      <c r="L33" s="17">
        <f>K33*(1-(L$3*L$4))</f>
        <v>4.094200000000001</v>
      </c>
      <c r="M33" s="54">
        <v>30075316</v>
      </c>
      <c r="N33" s="1">
        <v>2.65</v>
      </c>
      <c r="O33" s="17">
        <f>N33*(1+O$3)</f>
        <v>3.31992</v>
      </c>
      <c r="P33" s="17">
        <f>O33*(1-(P$3*P$4))</f>
        <v>3.153924</v>
      </c>
      <c r="Q33" s="43" t="s">
        <v>436</v>
      </c>
      <c r="R33" s="1">
        <v>2.304</v>
      </c>
      <c r="S33" s="17">
        <f>R33*(1+S$3)</f>
        <v>2.304</v>
      </c>
      <c r="T33" s="17">
        <f>S33*(1-(T$3*T$4))</f>
        <v>2.304</v>
      </c>
    </row>
    <row r="34" spans="6:17" ht="12.75" customHeight="1">
      <c r="F34" s="17"/>
      <c r="G34" s="17"/>
      <c r="H34" s="17"/>
      <c r="I34" s="52"/>
      <c r="J34" s="17"/>
      <c r="K34" s="53" t="s">
        <v>419</v>
      </c>
      <c r="L34" s="17">
        <f>K33*(1-L$3)</f>
        <v>4.094200000000001</v>
      </c>
      <c r="M34" s="51"/>
      <c r="N34" s="17"/>
      <c r="Q34" s="52"/>
    </row>
    <row r="35" ht="12.75" customHeight="1">
      <c r="M35" s="51"/>
    </row>
    <row r="36" spans="1:13" ht="12.75" customHeight="1">
      <c r="A36" s="1" t="s">
        <v>437</v>
      </c>
      <c r="B36" s="1" t="s">
        <v>438</v>
      </c>
      <c r="M36" s="51"/>
    </row>
    <row r="37" ht="12.75" customHeight="1">
      <c r="M37" s="51"/>
    </row>
    <row r="38" ht="12.75" customHeight="1">
      <c r="M38" s="51"/>
    </row>
    <row r="39" spans="1:20" ht="12.75" customHeight="1">
      <c r="A39" s="1" t="s">
        <v>439</v>
      </c>
      <c r="B39" s="1" t="s">
        <v>98</v>
      </c>
      <c r="C39" s="1">
        <v>400</v>
      </c>
      <c r="D39" s="1">
        <f>SUM(E39:M39)</f>
        <v>18.692400000000003</v>
      </c>
      <c r="E39" s="50" t="s">
        <v>440</v>
      </c>
      <c r="F39" s="1">
        <v>3.05</v>
      </c>
      <c r="G39" s="17">
        <f>F39*(1+G$3)</f>
        <v>3.05</v>
      </c>
      <c r="H39" s="11">
        <f>ROUND(G39*(1+H$3),2)</f>
        <v>3.05</v>
      </c>
      <c r="I39" s="12" t="s">
        <v>441</v>
      </c>
      <c r="J39" s="1">
        <v>2.982</v>
      </c>
      <c r="K39" s="17">
        <f>J39*(1+K$3)</f>
        <v>3.2802000000000007</v>
      </c>
      <c r="L39" s="13">
        <f>K39*(1-(L$3*L$4))</f>
        <v>3.2802000000000007</v>
      </c>
      <c r="M39" s="51" t="s">
        <v>418</v>
      </c>
      <c r="Q39" s="1" t="s">
        <v>442</v>
      </c>
      <c r="R39" s="1">
        <v>2.304</v>
      </c>
      <c r="S39" s="17">
        <f>R39*(1+S$3)</f>
        <v>2.304</v>
      </c>
      <c r="T39" s="17">
        <f>S39*(1-(T$3*T$4))</f>
        <v>2.304</v>
      </c>
    </row>
    <row r="40" spans="2:17" ht="12.75" customHeight="1">
      <c r="B40" s="1" t="s">
        <v>55</v>
      </c>
      <c r="F40" s="17"/>
      <c r="G40" s="17"/>
      <c r="H40" s="17"/>
      <c r="I40" s="17"/>
      <c r="J40" s="17"/>
      <c r="K40" s="53" t="s">
        <v>419</v>
      </c>
      <c r="L40" s="17">
        <f>K39*(1-L$3)</f>
        <v>3.2802000000000007</v>
      </c>
      <c r="M40" s="51"/>
      <c r="Q40" s="17"/>
    </row>
    <row r="41" spans="2:13" ht="12.75" customHeight="1">
      <c r="B41" s="1" t="s">
        <v>80</v>
      </c>
      <c r="M41" s="51"/>
    </row>
    <row r="42" spans="2:13" ht="12.75" customHeight="1">
      <c r="B42" s="1" t="s">
        <v>82</v>
      </c>
      <c r="M42" s="51"/>
    </row>
    <row r="43" spans="2:13" ht="12.75" customHeight="1">
      <c r="B43" s="1" t="s">
        <v>36</v>
      </c>
      <c r="M43" s="51"/>
    </row>
    <row r="44" spans="2:13" ht="12.75" customHeight="1">
      <c r="B44" s="1" t="s">
        <v>47</v>
      </c>
      <c r="M44" s="51"/>
    </row>
    <row r="45" spans="2:13" ht="12.75" customHeight="1">
      <c r="B45" s="1" t="s">
        <v>50</v>
      </c>
      <c r="M45" s="51"/>
    </row>
    <row r="46" ht="12.75" customHeight="1">
      <c r="M46" s="51"/>
    </row>
    <row r="47" spans="1:20" ht="12.75" customHeight="1">
      <c r="A47" s="1" t="s">
        <v>443</v>
      </c>
      <c r="B47" s="1" t="s">
        <v>65</v>
      </c>
      <c r="C47" s="1">
        <v>400</v>
      </c>
      <c r="D47" s="1">
        <f>SUM(E47:M47)</f>
        <v>21.0604</v>
      </c>
      <c r="E47" s="50" t="s">
        <v>444</v>
      </c>
      <c r="F47" s="1">
        <v>3.05</v>
      </c>
      <c r="G47" s="17">
        <f>F47*(1+G$3)</f>
        <v>3.05</v>
      </c>
      <c r="H47" s="13">
        <f>ROUND(G47*(1+H$3),2)</f>
        <v>3.05</v>
      </c>
      <c r="I47" s="1" t="s">
        <v>445</v>
      </c>
      <c r="J47" s="1">
        <v>3.722</v>
      </c>
      <c r="K47" s="17">
        <f>J47*(1+K$3)</f>
        <v>4.094200000000001</v>
      </c>
      <c r="L47" s="17">
        <f>K47*(1-(L$3*L$4))</f>
        <v>4.094200000000001</v>
      </c>
      <c r="M47" s="54" t="s">
        <v>446</v>
      </c>
      <c r="N47" s="1">
        <v>2.4</v>
      </c>
      <c r="O47" s="17">
        <f>N47*(1+O$3)</f>
        <v>3.00672</v>
      </c>
      <c r="P47" s="17">
        <f>O47*(1-(P$3*P$4))</f>
        <v>2.856384</v>
      </c>
      <c r="Q47" s="1" t="s">
        <v>447</v>
      </c>
      <c r="R47" s="1">
        <v>2.304</v>
      </c>
      <c r="S47" s="17">
        <f>R47*(1+S$3)</f>
        <v>2.304</v>
      </c>
      <c r="T47" s="17">
        <f>S47*(1-(T$3*T$4))</f>
        <v>2.304</v>
      </c>
    </row>
    <row r="48" spans="2:17" ht="12.75" customHeight="1">
      <c r="B48" s="1" t="s">
        <v>70</v>
      </c>
      <c r="F48" s="17"/>
      <c r="G48" s="17"/>
      <c r="H48" s="17"/>
      <c r="I48" s="17"/>
      <c r="J48" s="17"/>
      <c r="K48" s="53" t="s">
        <v>419</v>
      </c>
      <c r="L48" s="17">
        <f>K47*(1-L$3)</f>
        <v>4.094200000000001</v>
      </c>
      <c r="M48" s="51"/>
      <c r="N48" s="17"/>
      <c r="Q48" s="17"/>
    </row>
    <row r="49" spans="2:13" ht="12.75" customHeight="1">
      <c r="B49" s="1" t="s">
        <v>67</v>
      </c>
      <c r="M49" s="51"/>
    </row>
    <row r="50" ht="12.75" customHeight="1">
      <c r="M50" s="51"/>
    </row>
    <row r="51" spans="1:20" ht="12.75" customHeight="1">
      <c r="A51" s="1" t="s">
        <v>448</v>
      </c>
      <c r="B51" s="1" t="s">
        <v>46</v>
      </c>
      <c r="C51" s="1">
        <v>400</v>
      </c>
      <c r="D51" s="1">
        <f>SUM(E51:M51)</f>
        <v>18.392400000000002</v>
      </c>
      <c r="E51" s="50" t="s">
        <v>449</v>
      </c>
      <c r="F51" s="1">
        <v>2.95</v>
      </c>
      <c r="G51" s="17">
        <f>F51*(1+G$3)</f>
        <v>2.95</v>
      </c>
      <c r="H51" s="13">
        <f>ROUND(G51*(1+H$3),2)</f>
        <v>2.95</v>
      </c>
      <c r="I51" s="12" t="s">
        <v>450</v>
      </c>
      <c r="J51" s="1">
        <v>2.982</v>
      </c>
      <c r="K51" s="17">
        <f>J51*(1+K$3)</f>
        <v>3.2802000000000007</v>
      </c>
      <c r="L51" s="11">
        <f>K51*(1-(L$3*L$4))</f>
        <v>3.2802000000000007</v>
      </c>
      <c r="M51" s="54" t="s">
        <v>451</v>
      </c>
      <c r="N51" s="1">
        <v>2.05</v>
      </c>
      <c r="O51" s="17">
        <f>N51*(1+O$3)</f>
        <v>2.56824</v>
      </c>
      <c r="P51" s="11">
        <f>O51*(1-(P$3*P$4))</f>
        <v>2.439828</v>
      </c>
      <c r="Q51" s="1" t="s">
        <v>452</v>
      </c>
      <c r="R51" s="1">
        <v>2.304</v>
      </c>
      <c r="S51" s="17">
        <f>R51*(1+S$3)</f>
        <v>2.304</v>
      </c>
      <c r="T51" s="17">
        <f>S51*(1-(T$3*T$4))</f>
        <v>2.304</v>
      </c>
    </row>
    <row r="52" spans="2:17" ht="12.75" customHeight="1">
      <c r="B52" s="1" t="s">
        <v>229</v>
      </c>
      <c r="F52" s="17"/>
      <c r="G52" s="17"/>
      <c r="H52" s="17"/>
      <c r="I52" s="17"/>
      <c r="J52" s="17"/>
      <c r="K52" s="53" t="s">
        <v>419</v>
      </c>
      <c r="L52" s="13">
        <f>K51*(1-L$3)</f>
        <v>3.2802000000000007</v>
      </c>
      <c r="M52" s="51"/>
      <c r="N52" s="17"/>
      <c r="Q52" s="17"/>
    </row>
    <row r="53" spans="2:13" ht="14.25" customHeight="1">
      <c r="B53" s="1" t="s">
        <v>94</v>
      </c>
      <c r="M53" s="51"/>
    </row>
    <row r="54" spans="2:13" ht="12.75" customHeight="1">
      <c r="B54" s="1" t="s">
        <v>131</v>
      </c>
      <c r="M54" s="51"/>
    </row>
    <row r="55" spans="2:13" ht="12.75" customHeight="1">
      <c r="B55" s="1" t="s">
        <v>137</v>
      </c>
      <c r="M55" s="51"/>
    </row>
    <row r="56" spans="2:13" ht="12.75" customHeight="1">
      <c r="B56" s="1" t="s">
        <v>120</v>
      </c>
      <c r="M56" s="51"/>
    </row>
    <row r="57" spans="2:13" ht="12.75" customHeight="1">
      <c r="B57" s="1" t="s">
        <v>87</v>
      </c>
      <c r="M57" s="51"/>
    </row>
    <row r="58" spans="2:13" ht="12.75" customHeight="1">
      <c r="B58" s="1" t="s">
        <v>106</v>
      </c>
      <c r="M58" s="51"/>
    </row>
    <row r="59" ht="12.75" customHeight="1">
      <c r="M59" s="51"/>
    </row>
    <row r="60" spans="1:16" ht="12.75" customHeight="1">
      <c r="A60" s="1" t="s">
        <v>453</v>
      </c>
      <c r="B60" s="1" t="s">
        <v>179</v>
      </c>
      <c r="C60" s="1">
        <v>100</v>
      </c>
      <c r="E60" s="50" t="s">
        <v>454</v>
      </c>
      <c r="F60" s="1">
        <v>3.19</v>
      </c>
      <c r="G60" s="17">
        <f>F60*(1+G$3)</f>
        <v>3.19</v>
      </c>
      <c r="H60" s="13">
        <f>ROUND(G60*(1+H$3),2)</f>
        <v>3.19</v>
      </c>
      <c r="M60" s="51" t="s">
        <v>455</v>
      </c>
      <c r="N60" s="1">
        <v>2.8</v>
      </c>
      <c r="O60" s="17">
        <f>N60*(1+O$3)</f>
        <v>3.5078400000000003</v>
      </c>
      <c r="P60" s="17">
        <f>O60*(1-(P$3*P$4))</f>
        <v>3.3324480000000003</v>
      </c>
    </row>
    <row r="61" ht="12.75" customHeight="1">
      <c r="M61" s="51"/>
    </row>
    <row r="62" spans="1:13" ht="12.75" customHeight="1">
      <c r="A62" s="56" t="s">
        <v>456</v>
      </c>
      <c r="B62" s="1" t="s">
        <v>457</v>
      </c>
      <c r="C62" s="1">
        <v>100</v>
      </c>
      <c r="E62" s="50" t="s">
        <v>458</v>
      </c>
      <c r="F62" s="1">
        <v>3.18</v>
      </c>
      <c r="G62" s="17">
        <f>F62*(1+G$3)</f>
        <v>3.18</v>
      </c>
      <c r="H62" s="13">
        <f>ROUND(G62*(1+H$3),2)</f>
        <v>3.18</v>
      </c>
      <c r="M62" s="51"/>
    </row>
    <row r="63" ht="12.75" customHeight="1">
      <c r="M63" s="51"/>
    </row>
    <row r="64" spans="1:20" ht="12.75" customHeight="1">
      <c r="A64" s="1" t="s">
        <v>459</v>
      </c>
      <c r="B64" s="1" t="s">
        <v>218</v>
      </c>
      <c r="C64" s="1">
        <v>1000</v>
      </c>
      <c r="D64" s="1">
        <f>SUM(E64:M64)</f>
        <v>25.284</v>
      </c>
      <c r="E64" s="50" t="s">
        <v>460</v>
      </c>
      <c r="F64" s="1">
        <v>4.14</v>
      </c>
      <c r="G64" s="17">
        <f>F64*(1+G$3)</f>
        <v>4.14</v>
      </c>
      <c r="H64" s="11">
        <f>ROUND(G64*(1+H$3),2)</f>
        <v>4.14</v>
      </c>
      <c r="I64" s="12" t="s">
        <v>461</v>
      </c>
      <c r="J64" s="1">
        <v>4.02</v>
      </c>
      <c r="K64" s="17">
        <f>J64*(1+K$3)</f>
        <v>4.422</v>
      </c>
      <c r="L64" s="13">
        <f>K64*(1-(L$3*L$4))</f>
        <v>4.422</v>
      </c>
      <c r="M64" s="54" t="s">
        <v>462</v>
      </c>
      <c r="N64" s="1">
        <v>2.7</v>
      </c>
      <c r="O64" s="17">
        <f>N64*(1+O$3)</f>
        <v>3.3825600000000007</v>
      </c>
      <c r="P64" s="11">
        <f>O64*(1-(P$3*P$4))</f>
        <v>3.2134320000000005</v>
      </c>
      <c r="Q64" s="1" t="s">
        <v>463</v>
      </c>
      <c r="R64" s="1">
        <v>2.74</v>
      </c>
      <c r="S64" s="17">
        <f>R64*(1+S$3)</f>
        <v>2.74</v>
      </c>
      <c r="T64" s="17">
        <f>S64*(1-(T$3*T$4))</f>
        <v>2.74</v>
      </c>
    </row>
    <row r="65" spans="2:17" ht="12.75" customHeight="1">
      <c r="B65" s="1" t="s">
        <v>288</v>
      </c>
      <c r="F65" s="17"/>
      <c r="G65" s="17"/>
      <c r="H65" s="17"/>
      <c r="I65" s="17"/>
      <c r="J65" s="17"/>
      <c r="K65" s="53" t="s">
        <v>419</v>
      </c>
      <c r="L65" s="17">
        <f>K64*(1-L$3)</f>
        <v>4.422</v>
      </c>
      <c r="M65" s="51"/>
      <c r="N65" s="17"/>
      <c r="Q65" s="17"/>
    </row>
    <row r="66" spans="2:13" ht="12.75" customHeight="1">
      <c r="B66" s="1" t="s">
        <v>297</v>
      </c>
      <c r="M66" s="51"/>
    </row>
    <row r="67" spans="2:13" ht="12.75" customHeight="1">
      <c r="B67" s="58" t="s">
        <v>286</v>
      </c>
      <c r="E67" s="59" t="s">
        <v>464</v>
      </c>
      <c r="H67" s="60"/>
      <c r="I67" s="61" t="s">
        <v>465</v>
      </c>
      <c r="L67" s="62" t="s">
        <v>466</v>
      </c>
      <c r="M67" s="51"/>
    </row>
    <row r="68" spans="2:13" ht="12.75" customHeight="1">
      <c r="B68" s="58" t="s">
        <v>223</v>
      </c>
      <c r="E68" s="63" t="s">
        <v>467</v>
      </c>
      <c r="L68" s="64" t="s">
        <v>468</v>
      </c>
      <c r="M68" s="51"/>
    </row>
    <row r="69" spans="2:13" ht="12.75" customHeight="1">
      <c r="B69" s="1" t="s">
        <v>245</v>
      </c>
      <c r="M69" s="51"/>
    </row>
    <row r="70" spans="2:13" ht="12.75" customHeight="1">
      <c r="B70" s="1" t="s">
        <v>263</v>
      </c>
      <c r="M70" s="51"/>
    </row>
    <row r="71" spans="2:13" ht="12.75" customHeight="1">
      <c r="B71" s="1" t="s">
        <v>247</v>
      </c>
      <c r="M71" s="51"/>
    </row>
    <row r="72" spans="2:13" ht="12.75" customHeight="1">
      <c r="B72" s="1" t="s">
        <v>250</v>
      </c>
      <c r="M72" s="51"/>
    </row>
    <row r="73" spans="2:13" ht="12.75" customHeight="1">
      <c r="B73" s="1" t="s">
        <v>274</v>
      </c>
      <c r="M73" s="51"/>
    </row>
    <row r="74" spans="2:13" ht="12.75" customHeight="1">
      <c r="B74" s="1" t="s">
        <v>328</v>
      </c>
      <c r="M74" s="51"/>
    </row>
    <row r="75" spans="2:13" ht="12.75" customHeight="1">
      <c r="B75" s="1" t="s">
        <v>276</v>
      </c>
      <c r="M75" s="51"/>
    </row>
    <row r="76" spans="2:13" ht="12.75" customHeight="1">
      <c r="B76" s="1" t="s">
        <v>277</v>
      </c>
      <c r="M76" s="51"/>
    </row>
    <row r="77" spans="2:13" ht="12.75" customHeight="1">
      <c r="B77" s="1" t="s">
        <v>252</v>
      </c>
      <c r="M77" s="51"/>
    </row>
    <row r="78" ht="12.75" customHeight="1">
      <c r="M78" s="51"/>
    </row>
    <row r="79" spans="1:13" ht="12.75" customHeight="1">
      <c r="A79" s="1" t="s">
        <v>469</v>
      </c>
      <c r="B79" s="1" t="s">
        <v>470</v>
      </c>
      <c r="C79" s="1">
        <v>100</v>
      </c>
      <c r="E79" s="50" t="s">
        <v>471</v>
      </c>
      <c r="F79" s="1">
        <v>5.82</v>
      </c>
      <c r="G79" s="17">
        <f>F79*(1+G$3)</f>
        <v>5.82</v>
      </c>
      <c r="H79" s="13">
        <f>ROUND(G79*(1+H$3),2)</f>
        <v>5.82</v>
      </c>
      <c r="I79" s="12" t="s">
        <v>472</v>
      </c>
      <c r="J79" s="1">
        <v>0</v>
      </c>
      <c r="K79" s="17">
        <f>J79*(1+K$3)</f>
        <v>0</v>
      </c>
      <c r="L79" s="17">
        <f>K79*(1-(L$3*L$4))</f>
        <v>0</v>
      </c>
      <c r="M79" s="51"/>
    </row>
    <row r="80" spans="2:13" ht="12.75" customHeight="1">
      <c r="B80" s="1" t="s">
        <v>473</v>
      </c>
      <c r="J80" s="17"/>
      <c r="K80" s="53" t="s">
        <v>419</v>
      </c>
      <c r="L80" s="13">
        <f>K79*(1-L$3)</f>
        <v>0</v>
      </c>
      <c r="M80" s="51"/>
    </row>
    <row r="81" ht="12.75" customHeight="1">
      <c r="M81" s="51"/>
    </row>
    <row r="82" spans="1:13" ht="12.75" customHeight="1">
      <c r="A82" s="56" t="s">
        <v>474</v>
      </c>
      <c r="B82" s="1" t="s">
        <v>324</v>
      </c>
      <c r="C82" s="1">
        <v>100</v>
      </c>
      <c r="E82" s="50" t="s">
        <v>475</v>
      </c>
      <c r="F82" s="1">
        <v>5.22</v>
      </c>
      <c r="G82" s="17">
        <f>F82*(1+G$3)</f>
        <v>5.22</v>
      </c>
      <c r="H82" s="31">
        <f>ROUND(G82*(1+H$3),2)</f>
        <v>5.22</v>
      </c>
      <c r="I82" s="56" t="s">
        <v>474</v>
      </c>
      <c r="J82" s="1">
        <v>4.59</v>
      </c>
      <c r="K82" s="17">
        <f>J82*(1+K$3)</f>
        <v>5.049</v>
      </c>
      <c r="L82" s="13">
        <f>K82*(1-(L$3*L$4))</f>
        <v>5.049</v>
      </c>
      <c r="M82" s="51"/>
    </row>
    <row r="83" spans="10:13" ht="12.75" customHeight="1">
      <c r="J83" s="17"/>
      <c r="K83" s="53" t="s">
        <v>419</v>
      </c>
      <c r="L83" s="17">
        <f>K82*(1-L$3)</f>
        <v>5.049</v>
      </c>
      <c r="M83" s="51"/>
    </row>
    <row r="84" ht="12.75" customHeight="1">
      <c r="M84" s="51"/>
    </row>
    <row r="85" spans="1:20" ht="12.75" customHeight="1">
      <c r="A85" s="56" t="s">
        <v>476</v>
      </c>
      <c r="B85" s="1" t="s">
        <v>268</v>
      </c>
      <c r="C85" s="1">
        <v>100</v>
      </c>
      <c r="E85" s="50" t="s">
        <v>477</v>
      </c>
      <c r="F85" s="1">
        <v>5.22</v>
      </c>
      <c r="G85" s="17">
        <f>F85*(1+G$3)</f>
        <v>5.22</v>
      </c>
      <c r="H85" s="17">
        <f>ROUND(G85*(1+H$3),2)</f>
        <v>5.22</v>
      </c>
      <c r="I85" s="12" t="s">
        <v>478</v>
      </c>
      <c r="J85" s="1">
        <v>4.59</v>
      </c>
      <c r="K85" s="17">
        <f>J85*(1+K$3)</f>
        <v>5.049</v>
      </c>
      <c r="L85" s="13">
        <f>K85*(1-(L$3*L$4))</f>
        <v>5.049</v>
      </c>
      <c r="M85" s="54" t="s">
        <v>479</v>
      </c>
      <c r="N85" s="1">
        <v>3.85</v>
      </c>
      <c r="O85" s="17">
        <f>N85*(1+O$3)</f>
        <v>4.8232800000000005</v>
      </c>
      <c r="P85" s="17">
        <f>O85*(1-(P$3*P$4))</f>
        <v>4.582116</v>
      </c>
      <c r="Q85" s="12" t="s">
        <v>480</v>
      </c>
      <c r="R85" s="1">
        <v>2.74</v>
      </c>
      <c r="S85" s="17">
        <f>R85*(1+S$3)</f>
        <v>2.74</v>
      </c>
      <c r="T85" s="17">
        <f>S85*(1-(T$3*T$4))</f>
        <v>2.74</v>
      </c>
    </row>
    <row r="86" spans="6:17" ht="12.75" customHeight="1">
      <c r="F86" s="17"/>
      <c r="G86" s="17"/>
      <c r="H86" s="17"/>
      <c r="I86" s="17"/>
      <c r="J86" s="17"/>
      <c r="K86" s="53" t="s">
        <v>419</v>
      </c>
      <c r="L86" s="17">
        <f>K85*(1-L$3)</f>
        <v>5.049</v>
      </c>
      <c r="M86" s="51"/>
      <c r="N86" s="17"/>
      <c r="Q86" s="17"/>
    </row>
    <row r="87" spans="6:17" ht="12.75" customHeight="1">
      <c r="F87" s="17"/>
      <c r="G87" s="17"/>
      <c r="H87" s="17"/>
      <c r="K87" s="17"/>
      <c r="L87" s="17"/>
      <c r="M87" s="51"/>
      <c r="N87" s="17"/>
      <c r="Q87" s="17"/>
    </row>
    <row r="88" spans="1:20" ht="12.75" customHeight="1">
      <c r="A88" s="56" t="s">
        <v>481</v>
      </c>
      <c r="B88" s="1" t="s">
        <v>272</v>
      </c>
      <c r="C88" s="1">
        <v>100</v>
      </c>
      <c r="E88" s="65" t="s">
        <v>482</v>
      </c>
      <c r="F88" s="1">
        <v>4.14</v>
      </c>
      <c r="G88" s="17">
        <f>F88*(1+G$3)</f>
        <v>4.14</v>
      </c>
      <c r="H88" s="13">
        <f>ROUND(G88*(1+H$3),2)</f>
        <v>4.14</v>
      </c>
      <c r="I88" s="12" t="s">
        <v>483</v>
      </c>
      <c r="J88" s="1">
        <v>4.59</v>
      </c>
      <c r="K88" s="17">
        <f>J88*(1+K$3)</f>
        <v>5.049</v>
      </c>
      <c r="L88" s="17">
        <f>K88*(1-(L$3*L$4))</f>
        <v>5.049</v>
      </c>
      <c r="M88" s="54" t="s">
        <v>484</v>
      </c>
      <c r="N88" s="1">
        <v>3.7</v>
      </c>
      <c r="O88" s="17">
        <f>N88*(1+O$3)</f>
        <v>4.63536</v>
      </c>
      <c r="P88" s="17">
        <f>O88*(1-(P$3*P$4))</f>
        <v>4.403592</v>
      </c>
      <c r="Q88" s="12" t="s">
        <v>485</v>
      </c>
      <c r="R88" s="1">
        <v>2.74</v>
      </c>
      <c r="S88" s="17">
        <f>R88*(1+S$3)</f>
        <v>2.74</v>
      </c>
      <c r="T88" s="17">
        <f>S88*(1-(T$3*T$4))</f>
        <v>2.74</v>
      </c>
    </row>
    <row r="89" spans="5:17" ht="12.75" customHeight="1">
      <c r="E89" s="66"/>
      <c r="F89" s="17"/>
      <c r="G89" s="17"/>
      <c r="H89" s="17"/>
      <c r="I89" s="17"/>
      <c r="J89" s="17"/>
      <c r="K89" s="53" t="s">
        <v>419</v>
      </c>
      <c r="L89" s="11">
        <f>K88*(1-L$3)</f>
        <v>5.049</v>
      </c>
      <c r="M89" s="51"/>
      <c r="N89" s="17"/>
      <c r="Q89" s="17"/>
    </row>
    <row r="90" spans="6:17" ht="12.75" customHeight="1">
      <c r="F90" s="17"/>
      <c r="G90" s="17"/>
      <c r="H90" s="17"/>
      <c r="K90" s="17"/>
      <c r="L90" s="17"/>
      <c r="M90" s="51"/>
      <c r="N90" s="17"/>
      <c r="Q90" s="17"/>
    </row>
    <row r="91" spans="1:20" ht="12.75" customHeight="1">
      <c r="A91" s="56" t="s">
        <v>486</v>
      </c>
      <c r="B91" s="1" t="s">
        <v>302</v>
      </c>
      <c r="C91" s="1">
        <v>100</v>
      </c>
      <c r="E91" s="50" t="s">
        <v>487</v>
      </c>
      <c r="F91" s="1">
        <v>4.14</v>
      </c>
      <c r="G91" s="17">
        <f>F91*(1+G$3)</f>
        <v>4.14</v>
      </c>
      <c r="H91" s="13">
        <f>ROUND(G91*(1+H$3),2)</f>
        <v>4.14</v>
      </c>
      <c r="I91" s="1" t="s">
        <v>488</v>
      </c>
      <c r="J91" s="1">
        <v>4.59</v>
      </c>
      <c r="K91" s="17">
        <f>J91*(1+K$3)</f>
        <v>5.049</v>
      </c>
      <c r="L91" s="17">
        <f>K91*(1-(L$3*L$4))</f>
        <v>5.049</v>
      </c>
      <c r="M91" s="51" t="s">
        <v>489</v>
      </c>
      <c r="N91" s="1">
        <v>3.7</v>
      </c>
      <c r="O91" s="17">
        <f>N91*(1+O$3)</f>
        <v>4.63536</v>
      </c>
      <c r="P91" s="17">
        <f>O91*(1-(P$3*P$4))</f>
        <v>4.403592</v>
      </c>
      <c r="Q91" s="1" t="s">
        <v>490</v>
      </c>
      <c r="R91" s="1">
        <v>2.74</v>
      </c>
      <c r="S91" s="17">
        <f>R91*(1+S$3)</f>
        <v>2.74</v>
      </c>
      <c r="T91" s="17">
        <f>S91*(1-(T$3*T$4))</f>
        <v>2.74</v>
      </c>
    </row>
    <row r="92" spans="5:17" ht="12.75" customHeight="1">
      <c r="E92" s="67"/>
      <c r="F92" s="17"/>
      <c r="G92" s="17"/>
      <c r="H92" s="17"/>
      <c r="I92" s="17"/>
      <c r="J92" s="17"/>
      <c r="K92" s="53" t="s">
        <v>419</v>
      </c>
      <c r="L92" s="11">
        <f>K91*(1-L$3)</f>
        <v>5.049</v>
      </c>
      <c r="M92" s="51"/>
      <c r="N92" s="17"/>
      <c r="Q92" s="17"/>
    </row>
    <row r="93" spans="6:17" ht="12.75" customHeight="1">
      <c r="F93" s="17"/>
      <c r="G93" s="17"/>
      <c r="H93" s="17"/>
      <c r="K93" s="17"/>
      <c r="L93" s="17"/>
      <c r="M93" s="51"/>
      <c r="N93" s="17"/>
      <c r="Q93" s="17"/>
    </row>
    <row r="94" spans="1:13" ht="12.75" customHeight="1">
      <c r="A94" s="56" t="s">
        <v>491</v>
      </c>
      <c r="B94" s="1" t="s">
        <v>256</v>
      </c>
      <c r="C94" s="1">
        <v>100</v>
      </c>
      <c r="E94" s="50" t="s">
        <v>492</v>
      </c>
      <c r="F94" s="1">
        <v>4.14</v>
      </c>
      <c r="G94" s="13">
        <f>F94*(1+G$3)</f>
        <v>4.14</v>
      </c>
      <c r="H94" s="31">
        <f>ROUND(G94*(1+H$3),2)</f>
        <v>4.14</v>
      </c>
      <c r="I94" s="56" t="s">
        <v>493</v>
      </c>
      <c r="J94" s="1">
        <v>4.59</v>
      </c>
      <c r="K94" s="17">
        <f>J94*(1+K$3)</f>
        <v>5.049</v>
      </c>
      <c r="L94" s="13">
        <f>K94*(1-(L$3*L$4))</f>
        <v>5.049</v>
      </c>
      <c r="M94" s="51"/>
    </row>
    <row r="95" spans="10:13" ht="12.75" customHeight="1">
      <c r="J95" s="17"/>
      <c r="K95" s="53" t="s">
        <v>419</v>
      </c>
      <c r="L95" s="17">
        <f>K94*(1-L$3)</f>
        <v>5.049</v>
      </c>
      <c r="M95" s="51"/>
    </row>
    <row r="96" ht="12.75" customHeight="1">
      <c r="M96" s="51"/>
    </row>
    <row r="97" spans="1:17" ht="12.75" customHeight="1">
      <c r="A97" s="1" t="s">
        <v>494</v>
      </c>
      <c r="B97" s="1" t="s">
        <v>284</v>
      </c>
      <c r="C97" s="1">
        <v>100</v>
      </c>
      <c r="E97" s="50" t="s">
        <v>495</v>
      </c>
      <c r="F97" s="1">
        <v>5.82</v>
      </c>
      <c r="G97" s="17">
        <f>F97*(1+G$3)</f>
        <v>5.82</v>
      </c>
      <c r="H97" s="13">
        <f>ROUND(G97*(1+H$3),2)</f>
        <v>5.82</v>
      </c>
      <c r="I97" s="12" t="s">
        <v>496</v>
      </c>
      <c r="J97" s="1">
        <v>6.081</v>
      </c>
      <c r="K97" s="17">
        <f>J97*(1+K$3)</f>
        <v>6.689100000000001</v>
      </c>
      <c r="L97" s="17">
        <f>K97*(1-(L$3*L$4))</f>
        <v>6.689100000000001</v>
      </c>
      <c r="M97" s="54">
        <v>30092116</v>
      </c>
      <c r="N97" s="1">
        <v>3.65</v>
      </c>
      <c r="O97" s="11">
        <f>N97*(1+O$3)</f>
        <v>4.57272</v>
      </c>
      <c r="P97" s="13">
        <f>O97*(1-(P$3*P$4))</f>
        <v>4.3440840000000005</v>
      </c>
      <c r="Q97" s="1" t="s">
        <v>418</v>
      </c>
    </row>
    <row r="98" spans="2:14" ht="12.75" customHeight="1">
      <c r="B98" s="1" t="s">
        <v>316</v>
      </c>
      <c r="I98" s="17"/>
      <c r="J98" s="17"/>
      <c r="K98" s="53" t="s">
        <v>419</v>
      </c>
      <c r="L98" s="13">
        <f>K97*(1-L$3)</f>
        <v>6.689100000000001</v>
      </c>
      <c r="M98" s="51"/>
      <c r="N98" s="17"/>
    </row>
    <row r="99" ht="12.75" customHeight="1">
      <c r="M99" s="51"/>
    </row>
    <row r="100" spans="1:20" ht="12.75" customHeight="1">
      <c r="A100" s="1" t="s">
        <v>497</v>
      </c>
      <c r="B100" s="1" t="s">
        <v>319</v>
      </c>
      <c r="C100" s="1">
        <v>100</v>
      </c>
      <c r="E100" s="50" t="s">
        <v>498</v>
      </c>
      <c r="F100" s="1">
        <v>5.82</v>
      </c>
      <c r="G100" s="17">
        <f>F100*(1+G$3)</f>
        <v>5.82</v>
      </c>
      <c r="H100" s="13">
        <f>ROUND(G100*(1+H$3),2)</f>
        <v>5.82</v>
      </c>
      <c r="I100" s="12" t="s">
        <v>499</v>
      </c>
      <c r="J100" s="1">
        <v>6.081</v>
      </c>
      <c r="K100" s="17">
        <f>J100*(1+K$3)</f>
        <v>6.689100000000001</v>
      </c>
      <c r="L100" s="17">
        <f>K100*(1-(L$3*L$4))</f>
        <v>6.689100000000001</v>
      </c>
      <c r="M100" s="54">
        <v>30092414</v>
      </c>
      <c r="N100" s="1">
        <v>3.6</v>
      </c>
      <c r="O100" s="11">
        <f>N100*(1+O$3)</f>
        <v>4.51008</v>
      </c>
      <c r="P100" s="13">
        <f>O100*(1-(P$3*P$4))</f>
        <v>4.284576</v>
      </c>
      <c r="Q100" s="1" t="s">
        <v>500</v>
      </c>
      <c r="R100" s="1">
        <v>2.74</v>
      </c>
      <c r="S100" s="17">
        <f>R100*(1+S$3)</f>
        <v>2.74</v>
      </c>
      <c r="T100" s="17">
        <f>S100*(1-(T$3*T$4))</f>
        <v>2.74</v>
      </c>
    </row>
    <row r="101" spans="6:17" ht="12.75" customHeight="1">
      <c r="F101" s="17"/>
      <c r="G101" s="17"/>
      <c r="H101" s="17"/>
      <c r="I101" s="17"/>
      <c r="J101" s="17"/>
      <c r="K101" s="53" t="s">
        <v>419</v>
      </c>
      <c r="L101" s="13">
        <f>K100*(1-L$3)</f>
        <v>6.689100000000001</v>
      </c>
      <c r="M101" s="51"/>
      <c r="N101" s="17"/>
      <c r="Q101" s="17"/>
    </row>
    <row r="102" spans="1:17" ht="12.75" customHeight="1">
      <c r="A102" s="1" t="s">
        <v>501</v>
      </c>
      <c r="B102" s="1" t="s">
        <v>502</v>
      </c>
      <c r="C102" s="1">
        <v>100</v>
      </c>
      <c r="E102" s="50" t="s">
        <v>503</v>
      </c>
      <c r="F102" s="1">
        <v>5.23</v>
      </c>
      <c r="G102" s="17">
        <f>F102*(1+G$3)</f>
        <v>5.23</v>
      </c>
      <c r="H102" s="13">
        <f>ROUND(G102*(1+H$3),2)</f>
        <v>5.23</v>
      </c>
      <c r="I102" s="12" t="s">
        <v>499</v>
      </c>
      <c r="J102" s="1">
        <v>6.081</v>
      </c>
      <c r="K102" s="17">
        <f>J102*(1+K$3)</f>
        <v>6.689100000000001</v>
      </c>
      <c r="L102" s="17">
        <f>K102*(1-(L$3*L$4))</f>
        <v>6.689100000000001</v>
      </c>
      <c r="M102" s="51"/>
      <c r="N102" s="17"/>
      <c r="Q102" s="17"/>
    </row>
    <row r="103" spans="6:17" ht="12.75" customHeight="1">
      <c r="F103" s="17"/>
      <c r="G103" s="17"/>
      <c r="H103" s="17"/>
      <c r="I103" s="17"/>
      <c r="J103" s="17"/>
      <c r="K103" s="53" t="s">
        <v>419</v>
      </c>
      <c r="L103" s="13">
        <f>K102*(1-L$3)</f>
        <v>6.689100000000001</v>
      </c>
      <c r="M103" s="51"/>
      <c r="N103" s="17"/>
      <c r="Q103" s="17"/>
    </row>
    <row r="104" spans="6:17" ht="12.75" customHeight="1">
      <c r="F104" s="17"/>
      <c r="G104" s="17"/>
      <c r="H104" s="17"/>
      <c r="K104" s="17"/>
      <c r="L104" s="17"/>
      <c r="M104" s="51"/>
      <c r="N104" s="17"/>
      <c r="Q104" s="17"/>
    </row>
    <row r="105" spans="1:20" ht="12.75" customHeight="1">
      <c r="A105" s="56" t="s">
        <v>504</v>
      </c>
      <c r="B105" s="1" t="s">
        <v>281</v>
      </c>
      <c r="C105" s="1">
        <v>100</v>
      </c>
      <c r="E105" s="50" t="s">
        <v>505</v>
      </c>
      <c r="F105" s="1">
        <v>5.82</v>
      </c>
      <c r="G105" s="17">
        <f>F105*(1+G$3)</f>
        <v>5.82</v>
      </c>
      <c r="H105" s="13">
        <f>ROUND(G105*(1+H$3),2)</f>
        <v>5.82</v>
      </c>
      <c r="I105" s="12" t="s">
        <v>506</v>
      </c>
      <c r="J105" s="1">
        <v>6.081</v>
      </c>
      <c r="K105" s="17">
        <f>J105*(1+K$3)</f>
        <v>6.689100000000001</v>
      </c>
      <c r="L105" s="17">
        <f>K105*(1-(L$3*L$4))</f>
        <v>6.689100000000001</v>
      </c>
      <c r="M105" s="51">
        <v>30092112</v>
      </c>
      <c r="N105" s="1">
        <v>3.6</v>
      </c>
      <c r="O105" s="11">
        <f>N105*(1+O$3)</f>
        <v>4.51008</v>
      </c>
      <c r="P105" s="11">
        <f>O105*(1-(P$3*P$4))</f>
        <v>4.284576</v>
      </c>
      <c r="Q105" s="12" t="s">
        <v>507</v>
      </c>
      <c r="R105" s="1">
        <v>2.74</v>
      </c>
      <c r="S105" s="17">
        <f>R105*(1+S$3)</f>
        <v>2.74</v>
      </c>
      <c r="T105" s="17">
        <f>S105*(1-(T$3*T$4))</f>
        <v>2.74</v>
      </c>
    </row>
    <row r="106" spans="2:17" ht="12.75" customHeight="1">
      <c r="B106" s="1" t="s">
        <v>249</v>
      </c>
      <c r="F106" s="17"/>
      <c r="G106" s="17"/>
      <c r="H106" s="17"/>
      <c r="J106" s="17"/>
      <c r="K106" s="53" t="s">
        <v>419</v>
      </c>
      <c r="L106" s="13">
        <f>K105*(1-L$3)</f>
        <v>6.689100000000001</v>
      </c>
      <c r="M106" s="51"/>
      <c r="N106" s="17"/>
      <c r="Q106" s="17"/>
    </row>
    <row r="107" spans="2:13" ht="12.75" customHeight="1">
      <c r="B107" s="1" t="s">
        <v>338</v>
      </c>
      <c r="I107" s="17"/>
      <c r="J107" s="17"/>
      <c r="M107" s="51"/>
    </row>
    <row r="108" spans="2:13" ht="12.75" customHeight="1">
      <c r="B108" s="1" t="s">
        <v>340</v>
      </c>
      <c r="M108" s="51"/>
    </row>
    <row r="109" spans="2:13" ht="12.75" customHeight="1">
      <c r="B109" s="1" t="s">
        <v>291</v>
      </c>
      <c r="M109" s="51"/>
    </row>
    <row r="110" spans="2:13" ht="12.75" customHeight="1">
      <c r="B110" s="1" t="s">
        <v>342</v>
      </c>
      <c r="M110" s="51"/>
    </row>
    <row r="111" spans="2:13" ht="12.75" customHeight="1">
      <c r="B111" s="1" t="s">
        <v>508</v>
      </c>
      <c r="M111" s="51"/>
    </row>
    <row r="112" ht="12.75" customHeight="1">
      <c r="M112" s="51"/>
    </row>
    <row r="113" spans="1:13" ht="12.75" customHeight="1">
      <c r="A113" s="1" t="s">
        <v>509</v>
      </c>
      <c r="C113" s="1">
        <v>100</v>
      </c>
      <c r="M113" s="51"/>
    </row>
    <row r="114" ht="12.75" customHeight="1">
      <c r="M114" s="51"/>
    </row>
    <row r="115" ht="12.75" customHeight="1">
      <c r="M115" s="51"/>
    </row>
    <row r="116" spans="1:16" ht="12.75" customHeight="1">
      <c r="A116" s="1" t="s">
        <v>510</v>
      </c>
      <c r="B116" s="1" t="s">
        <v>511</v>
      </c>
      <c r="C116" s="1">
        <v>100</v>
      </c>
      <c r="E116" s="50" t="s">
        <v>512</v>
      </c>
      <c r="F116" s="1">
        <v>5.83</v>
      </c>
      <c r="G116" s="17">
        <f>F116*(1+G$3)</f>
        <v>5.83</v>
      </c>
      <c r="H116" s="13">
        <f>ROUND(G116*(1+H$3),2)</f>
        <v>5.83</v>
      </c>
      <c r="M116" s="54" t="s">
        <v>513</v>
      </c>
      <c r="N116" s="1">
        <v>4.5</v>
      </c>
      <c r="O116" s="17">
        <f>N116*(1+O$3)</f>
        <v>5.637600000000001</v>
      </c>
      <c r="P116" s="17">
        <f>O116*(1-(P$3*P$4))</f>
        <v>5.355720000000001</v>
      </c>
    </row>
    <row r="117" spans="5:13" ht="12.75" customHeight="1">
      <c r="E117" s="66"/>
      <c r="M117" s="51"/>
    </row>
    <row r="118" ht="12.75" customHeight="1">
      <c r="M118" s="51"/>
    </row>
    <row r="119" spans="1:13" ht="12.75" customHeight="1">
      <c r="A119" s="1" t="s">
        <v>514</v>
      </c>
      <c r="B119" s="1" t="s">
        <v>515</v>
      </c>
      <c r="C119" s="1">
        <v>100</v>
      </c>
      <c r="E119" s="50" t="s">
        <v>516</v>
      </c>
      <c r="F119" s="1">
        <v>5.82</v>
      </c>
      <c r="G119" s="17">
        <f>F119*(1+G$3)</f>
        <v>5.82</v>
      </c>
      <c r="H119" s="13">
        <f>ROUND(G119*(1+H$3),2)</f>
        <v>5.82</v>
      </c>
      <c r="I119" s="12" t="s">
        <v>517</v>
      </c>
      <c r="J119" s="1">
        <v>6.081</v>
      </c>
      <c r="K119" s="17">
        <f>J119*(1+K$3)</f>
        <v>6.689100000000001</v>
      </c>
      <c r="L119" s="17">
        <f>K119*(1-(L$3*L$4))</f>
        <v>6.689100000000001</v>
      </c>
      <c r="M119" s="51"/>
    </row>
    <row r="120" ht="12.75" customHeight="1">
      <c r="M120" s="51"/>
    </row>
    <row r="121" spans="1:17" ht="12.75" customHeight="1">
      <c r="A121" s="1" t="s">
        <v>518</v>
      </c>
      <c r="B121" s="1" t="s">
        <v>279</v>
      </c>
      <c r="C121" s="1">
        <v>200</v>
      </c>
      <c r="D121" s="1">
        <f>SUM(E121:M121)</f>
        <v>19.59</v>
      </c>
      <c r="E121" s="50" t="s">
        <v>519</v>
      </c>
      <c r="F121" s="1">
        <v>6.53</v>
      </c>
      <c r="G121" s="17">
        <f>F121*(1+G$3)</f>
        <v>6.53</v>
      </c>
      <c r="H121" s="13">
        <f>ROUND(G121*(1+H$3),2)</f>
        <v>6.53</v>
      </c>
      <c r="I121" s="1" t="s">
        <v>520</v>
      </c>
      <c r="M121" s="51" t="s">
        <v>418</v>
      </c>
      <c r="Q121" s="1" t="s">
        <v>418</v>
      </c>
    </row>
    <row r="122" spans="2:13" ht="12.75" customHeight="1">
      <c r="B122" s="1" t="s">
        <v>521</v>
      </c>
      <c r="E122" s="67"/>
      <c r="M122" s="51"/>
    </row>
    <row r="123" ht="12.75" customHeight="1">
      <c r="M123" s="51"/>
    </row>
    <row r="124" spans="1:13" ht="12.75" customHeight="1">
      <c r="A124" s="1" t="s">
        <v>522</v>
      </c>
      <c r="B124" s="1" t="s">
        <v>523</v>
      </c>
      <c r="C124" s="1">
        <v>100</v>
      </c>
      <c r="E124" s="50" t="s">
        <v>524</v>
      </c>
      <c r="F124" s="1">
        <v>5.82</v>
      </c>
      <c r="G124" s="17">
        <f>F124*(1+G$3)</f>
        <v>5.82</v>
      </c>
      <c r="H124" s="13">
        <f>ROUND(G124*(1+H$3),2)</f>
        <v>5.82</v>
      </c>
      <c r="I124" s="12" t="s">
        <v>525</v>
      </c>
      <c r="J124" s="1">
        <v>4.59</v>
      </c>
      <c r="K124" s="17">
        <f>J124*(1+K$3)</f>
        <v>5.049</v>
      </c>
      <c r="L124" s="13">
        <f>K124*(1-(L$3*L$4))</f>
        <v>5.049</v>
      </c>
      <c r="M124" s="51"/>
    </row>
    <row r="125" spans="5:13" ht="12.75" customHeight="1">
      <c r="E125" s="67"/>
      <c r="J125" s="17"/>
      <c r="K125" s="53" t="s">
        <v>419</v>
      </c>
      <c r="L125" s="17">
        <f>K124*(1-L$3)</f>
        <v>5.049</v>
      </c>
      <c r="M125" s="51"/>
    </row>
    <row r="126" ht="12.75" customHeight="1">
      <c r="M126" s="51"/>
    </row>
    <row r="127" spans="1:13" ht="12.75" customHeight="1">
      <c r="A127" s="1" t="s">
        <v>526</v>
      </c>
      <c r="C127" s="1">
        <v>100</v>
      </c>
      <c r="E127" s="50" t="s">
        <v>527</v>
      </c>
      <c r="F127" s="1">
        <v>6.54</v>
      </c>
      <c r="G127" s="17">
        <f>F127*(1+G$3)</f>
        <v>6.54</v>
      </c>
      <c r="H127" s="13">
        <f>ROUND(G127*(1+H$3),2)</f>
        <v>6.54</v>
      </c>
      <c r="I127" s="12" t="s">
        <v>528</v>
      </c>
      <c r="J127" s="1">
        <v>4.59</v>
      </c>
      <c r="K127" s="17">
        <f>J127*(1+K$3)</f>
        <v>5.049</v>
      </c>
      <c r="L127" s="13">
        <f>K127*(1-(L$3*L$4))</f>
        <v>5.049</v>
      </c>
      <c r="M127" s="51"/>
    </row>
    <row r="128" spans="5:13" ht="12.75" customHeight="1">
      <c r="E128" s="67"/>
      <c r="J128" s="17"/>
      <c r="K128" s="53" t="s">
        <v>419</v>
      </c>
      <c r="L128" s="17">
        <f>K127*(1-L$3)</f>
        <v>5.049</v>
      </c>
      <c r="M128" s="51"/>
    </row>
    <row r="129" ht="12.75" customHeight="1">
      <c r="M129" s="51"/>
    </row>
    <row r="130" spans="1:17" ht="12.75" customHeight="1">
      <c r="A130" s="1" t="s">
        <v>529</v>
      </c>
      <c r="B130" s="1" t="s">
        <v>238</v>
      </c>
      <c r="C130" s="1">
        <v>100</v>
      </c>
      <c r="D130" s="1">
        <f>SUM(E130:M130)</f>
        <v>3009254.148</v>
      </c>
      <c r="E130" s="50" t="s">
        <v>530</v>
      </c>
      <c r="F130" s="1">
        <v>5.82</v>
      </c>
      <c r="G130" s="17">
        <f>F130*(1+G$3)</f>
        <v>5.82</v>
      </c>
      <c r="H130" s="17">
        <f>ROUND(G130*(1+H$3),2)</f>
        <v>5.82</v>
      </c>
      <c r="I130" s="12" t="s">
        <v>531</v>
      </c>
      <c r="J130" s="1">
        <v>4.59</v>
      </c>
      <c r="K130" s="17">
        <f>J130*(1+K$3)</f>
        <v>5.049</v>
      </c>
      <c r="L130" s="13">
        <f>K130*(1-(L$3*L$4))</f>
        <v>5.049</v>
      </c>
      <c r="M130" s="51">
        <v>3009222</v>
      </c>
      <c r="N130" s="1">
        <v>3</v>
      </c>
      <c r="O130" s="11">
        <f>N130*(1+O$3)</f>
        <v>3.7584000000000004</v>
      </c>
      <c r="P130" s="11">
        <f>O130*(1-(P$3*P$4))</f>
        <v>3.5704800000000003</v>
      </c>
      <c r="Q130" s="1" t="s">
        <v>418</v>
      </c>
    </row>
    <row r="131" spans="5:13" ht="12.75" customHeight="1">
      <c r="E131" s="67"/>
      <c r="I131" s="17"/>
      <c r="J131" s="17"/>
      <c r="K131" s="53" t="s">
        <v>419</v>
      </c>
      <c r="L131" s="17">
        <f>K130*(1-L$3)</f>
        <v>5.049</v>
      </c>
      <c r="M131" s="51"/>
    </row>
    <row r="132" spans="5:13" ht="12.75" customHeight="1">
      <c r="E132" s="67"/>
      <c r="I132" s="17"/>
      <c r="J132" s="17"/>
      <c r="K132" s="53"/>
      <c r="L132" s="17"/>
      <c r="M132" s="51"/>
    </row>
    <row r="133" spans="1:17" ht="12.75" customHeight="1">
      <c r="A133" s="1" t="s">
        <v>532</v>
      </c>
      <c r="B133" s="1" t="s">
        <v>241</v>
      </c>
      <c r="C133" s="1">
        <v>100</v>
      </c>
      <c r="D133" s="1">
        <f>SUM(E133:M133)</f>
        <v>3009249.108</v>
      </c>
      <c r="E133" s="50" t="s">
        <v>533</v>
      </c>
      <c r="F133" s="1">
        <v>4.14</v>
      </c>
      <c r="G133" s="17">
        <f>F133*(1+G$3)</f>
        <v>4.14</v>
      </c>
      <c r="H133" s="17">
        <f>ROUND(G133*(1+H$3),2)</f>
        <v>4.14</v>
      </c>
      <c r="I133" s="12" t="s">
        <v>531</v>
      </c>
      <c r="J133" s="1">
        <v>4.59</v>
      </c>
      <c r="K133" s="17">
        <f>J133*(1+K$3)</f>
        <v>5.049</v>
      </c>
      <c r="L133" s="13">
        <f>K133*(1-(L$3*L$4))</f>
        <v>5.049</v>
      </c>
      <c r="M133" s="51">
        <v>3009222</v>
      </c>
      <c r="N133" s="1">
        <v>3</v>
      </c>
      <c r="O133" s="11">
        <f>N133*(1+O$3)</f>
        <v>3.7584000000000004</v>
      </c>
      <c r="P133" s="11">
        <f>O133*(1-(P$3*P$4))</f>
        <v>3.5704800000000003</v>
      </c>
      <c r="Q133" s="1" t="s">
        <v>418</v>
      </c>
    </row>
    <row r="134" spans="1:13" ht="12.75" customHeight="1">
      <c r="A134" s="1" t="s">
        <v>534</v>
      </c>
      <c r="E134" s="50" t="s">
        <v>535</v>
      </c>
      <c r="F134" s="1">
        <v>5.82</v>
      </c>
      <c r="G134" s="17">
        <f>F134*(1+G$3)</f>
        <v>5.82</v>
      </c>
      <c r="I134" s="17"/>
      <c r="J134" s="17"/>
      <c r="K134" s="53" t="s">
        <v>419</v>
      </c>
      <c r="L134" s="17">
        <f>K133*(1-L$3)</f>
        <v>5.049</v>
      </c>
      <c r="M134" s="51"/>
    </row>
    <row r="135" ht="12.75" customHeight="1">
      <c r="M135" s="51"/>
    </row>
    <row r="136" spans="1:13" ht="12.75" customHeight="1">
      <c r="A136" s="1" t="s">
        <v>536</v>
      </c>
      <c r="B136" s="1" t="s">
        <v>321</v>
      </c>
      <c r="C136" s="1">
        <v>100</v>
      </c>
      <c r="E136" s="50" t="s">
        <v>537</v>
      </c>
      <c r="F136" s="1">
        <v>5.82</v>
      </c>
      <c r="G136" s="17">
        <f>F136*(1+G$3)</f>
        <v>5.82</v>
      </c>
      <c r="H136" s="17">
        <f>ROUND(G136*(1+H$3),2)</f>
        <v>5.82</v>
      </c>
      <c r="M136" s="51"/>
    </row>
    <row r="137" spans="5:13" ht="12.75" customHeight="1">
      <c r="E137" s="67"/>
      <c r="M137" s="51"/>
    </row>
    <row r="138" ht="12.75" customHeight="1">
      <c r="M138" s="51"/>
    </row>
    <row r="139" spans="1:20" ht="12.75" customHeight="1">
      <c r="A139" s="1" t="s">
        <v>538</v>
      </c>
      <c r="B139" s="1" t="s">
        <v>232</v>
      </c>
      <c r="C139" s="1">
        <v>300</v>
      </c>
      <c r="D139" s="1">
        <f>SUM(E139:M139)</f>
        <v>25.284</v>
      </c>
      <c r="E139" s="50" t="s">
        <v>539</v>
      </c>
      <c r="F139" s="1">
        <v>4.14</v>
      </c>
      <c r="G139" s="17">
        <f>F139*(1+G$3)</f>
        <v>4.14</v>
      </c>
      <c r="H139" s="11">
        <f>ROUND(G139*(1+H$3),2)</f>
        <v>4.14</v>
      </c>
      <c r="I139" s="12" t="s">
        <v>540</v>
      </c>
      <c r="J139" s="1">
        <v>4.02</v>
      </c>
      <c r="K139" s="17">
        <f>J139*(1+K$3)</f>
        <v>4.422</v>
      </c>
      <c r="L139" s="13">
        <f>K139*(1-(L$3*L$4))</f>
        <v>4.422</v>
      </c>
      <c r="M139" s="51" t="s">
        <v>418</v>
      </c>
      <c r="Q139" s="1" t="s">
        <v>541</v>
      </c>
      <c r="R139" s="1">
        <v>2.74</v>
      </c>
      <c r="S139" s="17">
        <f>R139*(1+S$3)</f>
        <v>2.74</v>
      </c>
      <c r="T139" s="17">
        <f>S139*(1-(T$3*T$4))</f>
        <v>2.74</v>
      </c>
    </row>
    <row r="140" spans="2:17" ht="12.75" customHeight="1">
      <c r="B140" s="1" t="s">
        <v>227</v>
      </c>
      <c r="E140" s="67"/>
      <c r="F140" s="17"/>
      <c r="G140" s="17"/>
      <c r="H140" s="17"/>
      <c r="I140" s="17"/>
      <c r="J140" s="17"/>
      <c r="K140" s="53" t="s">
        <v>419</v>
      </c>
      <c r="L140" s="17">
        <f>K139*(1-L$3)</f>
        <v>4.422</v>
      </c>
      <c r="M140" s="51"/>
      <c r="Q140" s="17"/>
    </row>
    <row r="141" spans="2:13" ht="14.25" customHeight="1">
      <c r="B141" s="1" t="s">
        <v>235</v>
      </c>
      <c r="M141" s="51"/>
    </row>
    <row r="142" ht="12.75" customHeight="1">
      <c r="M142" s="51"/>
    </row>
    <row r="143" spans="1:17" ht="12.75" customHeight="1">
      <c r="A143" s="1" t="s">
        <v>542</v>
      </c>
      <c r="B143" s="1" t="s">
        <v>251</v>
      </c>
      <c r="C143" s="1">
        <v>100</v>
      </c>
      <c r="D143" s="1">
        <f>SUM(E143:M143)</f>
        <v>25.284</v>
      </c>
      <c r="E143" s="50" t="s">
        <v>543</v>
      </c>
      <c r="F143" s="1">
        <v>4.14</v>
      </c>
      <c r="G143" s="17">
        <f>F143*(1+G$3)</f>
        <v>4.14</v>
      </c>
      <c r="H143" s="11">
        <f>ROUND(G143*(1+H$3),2)</f>
        <v>4.14</v>
      </c>
      <c r="I143" s="12" t="s">
        <v>540</v>
      </c>
      <c r="J143" s="1">
        <v>4.02</v>
      </c>
      <c r="K143" s="17">
        <f>J143*(1+K$3)</f>
        <v>4.422</v>
      </c>
      <c r="L143" s="13">
        <f>K143*(1-(L$3*L$4))</f>
        <v>4.422</v>
      </c>
      <c r="M143" s="51" t="s">
        <v>418</v>
      </c>
      <c r="Q143" s="1" t="s">
        <v>418</v>
      </c>
    </row>
    <row r="144" spans="5:13" ht="12.75" customHeight="1">
      <c r="E144" s="67"/>
      <c r="I144" s="17"/>
      <c r="J144" s="17"/>
      <c r="K144" s="53" t="s">
        <v>419</v>
      </c>
      <c r="L144" s="17">
        <f>K143*(1-L$3)</f>
        <v>4.422</v>
      </c>
      <c r="M144" s="51"/>
    </row>
    <row r="145" ht="12.75" customHeight="1">
      <c r="M145" s="51"/>
    </row>
    <row r="146" spans="1:20" ht="12.75" customHeight="1">
      <c r="A146" s="1" t="s">
        <v>544</v>
      </c>
      <c r="B146" s="1" t="s">
        <v>545</v>
      </c>
      <c r="E146" s="50" t="s">
        <v>546</v>
      </c>
      <c r="F146" s="1">
        <v>4.14</v>
      </c>
      <c r="G146" s="17">
        <f>F146*(1+G$3)</f>
        <v>4.14</v>
      </c>
      <c r="H146" s="13">
        <f>G146*(1-(H$3*H$4))</f>
        <v>4.14</v>
      </c>
      <c r="I146" s="12" t="s">
        <v>547</v>
      </c>
      <c r="J146" s="1">
        <v>4.59</v>
      </c>
      <c r="K146" s="17">
        <f>J146*(1+K$3)</f>
        <v>5.049</v>
      </c>
      <c r="L146" s="17">
        <f>K146*(1-(L$3*L$4))</f>
        <v>5.049</v>
      </c>
      <c r="M146" s="51" t="s">
        <v>418</v>
      </c>
      <c r="Q146" s="1" t="s">
        <v>548</v>
      </c>
      <c r="R146" s="1">
        <v>2.74</v>
      </c>
      <c r="S146" s="17">
        <f>R146*(1+S$3)</f>
        <v>2.74</v>
      </c>
      <c r="T146" s="17">
        <f>S146*(1-(T$3*T$4))</f>
        <v>2.74</v>
      </c>
    </row>
    <row r="147" spans="5:17" ht="12.75" customHeight="1">
      <c r="E147" s="67"/>
      <c r="F147" s="17"/>
      <c r="G147" s="17"/>
      <c r="H147" s="17"/>
      <c r="I147" s="17"/>
      <c r="J147" s="17"/>
      <c r="K147" s="53" t="s">
        <v>419</v>
      </c>
      <c r="L147" s="11">
        <f>K146*(1-L$3)</f>
        <v>5.049</v>
      </c>
      <c r="M147" s="51"/>
      <c r="Q147" s="17"/>
    </row>
    <row r="148" spans="6:17" ht="12.75" customHeight="1">
      <c r="F148" s="17"/>
      <c r="G148" s="17"/>
      <c r="H148" s="17"/>
      <c r="M148" s="51"/>
      <c r="Q148" s="17"/>
    </row>
    <row r="149" spans="1:20" ht="12.75" customHeight="1">
      <c r="A149" s="1" t="s">
        <v>549</v>
      </c>
      <c r="B149" s="58" t="s">
        <v>229</v>
      </c>
      <c r="C149" s="1">
        <v>100</v>
      </c>
      <c r="D149" s="1">
        <f>SUM(E149:M149)</f>
        <v>3009241.284</v>
      </c>
      <c r="E149" s="68" t="s">
        <v>550</v>
      </c>
      <c r="F149" s="1">
        <v>4.14</v>
      </c>
      <c r="G149" s="17">
        <f>F149*(1+G$3)</f>
        <v>4.14</v>
      </c>
      <c r="H149" s="11">
        <f>ROUND(G149*(1+H$3),2)</f>
        <v>4.14</v>
      </c>
      <c r="I149" s="12" t="s">
        <v>551</v>
      </c>
      <c r="J149" s="1">
        <v>4.02</v>
      </c>
      <c r="K149" s="17">
        <f>J149*(1+K$3)</f>
        <v>4.422</v>
      </c>
      <c r="L149" s="13">
        <f>K149*(1-(L$3*L$4))</f>
        <v>4.422</v>
      </c>
      <c r="M149" s="51">
        <v>3009216</v>
      </c>
      <c r="N149" s="1">
        <v>2.8</v>
      </c>
      <c r="O149" s="17">
        <f>N149*(1+O$3)</f>
        <v>3.5078400000000003</v>
      </c>
      <c r="P149" s="17">
        <f>O149*(1-(P$3*P$4))</f>
        <v>3.3324480000000003</v>
      </c>
      <c r="Q149" s="69" t="s">
        <v>552</v>
      </c>
      <c r="R149" s="1">
        <v>2.74</v>
      </c>
      <c r="S149" s="17">
        <f>R149*(1+S$3)</f>
        <v>2.74</v>
      </c>
      <c r="T149" s="17">
        <f>S149*(1-(T$3*T$4))</f>
        <v>2.74</v>
      </c>
    </row>
    <row r="150" spans="5:17" ht="12.75" customHeight="1">
      <c r="E150" s="67"/>
      <c r="F150" s="17"/>
      <c r="G150" s="17"/>
      <c r="H150" s="17"/>
      <c r="I150" s="17"/>
      <c r="J150" s="17"/>
      <c r="K150" s="53" t="s">
        <v>419</v>
      </c>
      <c r="L150" s="17">
        <f>K149*(1-L$3)</f>
        <v>4.422</v>
      </c>
      <c r="M150" s="51"/>
      <c r="Q150" s="17"/>
    </row>
    <row r="151" ht="12.75" customHeight="1">
      <c r="M151" s="51"/>
    </row>
    <row r="152" ht="12.75" customHeight="1">
      <c r="M152" s="51"/>
    </row>
    <row r="153" spans="1:20" ht="12.75" customHeight="1">
      <c r="A153" s="1" t="s">
        <v>553</v>
      </c>
      <c r="B153" s="1" t="s">
        <v>363</v>
      </c>
      <c r="C153" s="1">
        <v>100</v>
      </c>
      <c r="D153" s="1">
        <f>SUM(E153:M153)</f>
        <v>30107392.278</v>
      </c>
      <c r="E153" s="65" t="s">
        <v>554</v>
      </c>
      <c r="F153" s="1">
        <v>8.05</v>
      </c>
      <c r="G153" s="17">
        <f>F153*(1+G$3)</f>
        <v>8.05</v>
      </c>
      <c r="H153" s="13">
        <f>ROUND(G153*(1+H$3),2)</f>
        <v>8.05</v>
      </c>
      <c r="I153" s="12" t="s">
        <v>555</v>
      </c>
      <c r="J153" s="1">
        <v>8.79</v>
      </c>
      <c r="K153" s="17">
        <f>J153*(1+K$3)</f>
        <v>9.669</v>
      </c>
      <c r="L153" s="17">
        <f>K153*(1-(L$3*L$4))</f>
        <v>9.669</v>
      </c>
      <c r="M153" s="51">
        <v>30107340</v>
      </c>
      <c r="N153" s="1">
        <v>7</v>
      </c>
      <c r="O153" s="17">
        <f>N153*(1+O$3)</f>
        <v>8.7696</v>
      </c>
      <c r="P153" s="17">
        <f>O153*(1-(P$3*P$4))</f>
        <v>8.33112</v>
      </c>
      <c r="Q153" s="12" t="s">
        <v>556</v>
      </c>
      <c r="R153" s="1">
        <v>4.096</v>
      </c>
      <c r="S153" s="17">
        <f>R153*(1+S$3)</f>
        <v>4.096</v>
      </c>
      <c r="T153" s="17">
        <f>S153*(1-(T$3*T$4))</f>
        <v>4.096</v>
      </c>
    </row>
    <row r="154" spans="5:17" ht="12.75" customHeight="1">
      <c r="E154" s="67"/>
      <c r="F154" s="17"/>
      <c r="G154" s="17"/>
      <c r="H154" s="17"/>
      <c r="I154" s="17"/>
      <c r="J154" s="17"/>
      <c r="K154" s="53" t="s">
        <v>419</v>
      </c>
      <c r="L154" s="17">
        <f>K153*(1-L$3)</f>
        <v>9.669</v>
      </c>
      <c r="M154" s="51"/>
      <c r="N154" s="17"/>
      <c r="Q154" s="17"/>
    </row>
    <row r="155" spans="6:17" ht="12.75" customHeight="1">
      <c r="F155" s="17"/>
      <c r="G155" s="17"/>
      <c r="H155" s="17"/>
      <c r="K155" s="17"/>
      <c r="L155" s="17"/>
      <c r="M155" s="51"/>
      <c r="N155" s="17"/>
      <c r="Q155" s="17"/>
    </row>
    <row r="156" spans="1:17" ht="12.75" customHeight="1">
      <c r="A156" s="1" t="s">
        <v>557</v>
      </c>
      <c r="B156" s="1" t="s">
        <v>347</v>
      </c>
      <c r="C156" s="1">
        <v>100</v>
      </c>
      <c r="D156" s="1">
        <f>SUM(E156:M156)</f>
        <v>3010768.6948</v>
      </c>
      <c r="E156" s="50" t="s">
        <v>558</v>
      </c>
      <c r="F156" s="1">
        <v>5.23</v>
      </c>
      <c r="G156" s="17">
        <f>F156*(1+G$3)</f>
        <v>5.23</v>
      </c>
      <c r="H156" s="13">
        <f>ROUND(G156*(1+H$3),2)</f>
        <v>5.23</v>
      </c>
      <c r="I156" s="1" t="s">
        <v>559</v>
      </c>
      <c r="J156" s="1">
        <v>5.939</v>
      </c>
      <c r="K156" s="17">
        <f>J156*(1+K$3)</f>
        <v>6.532900000000001</v>
      </c>
      <c r="L156" s="17">
        <f>K156*(1-(L$3*L$4))</f>
        <v>6.532900000000001</v>
      </c>
      <c r="M156" s="51">
        <v>3010734</v>
      </c>
      <c r="N156" s="1">
        <v>3.8</v>
      </c>
      <c r="O156" s="13">
        <f>N156*(1+O$3)</f>
        <v>4.76064</v>
      </c>
      <c r="P156" s="13">
        <f>O156*(1-(P$3*P$4))</f>
        <v>4.522608</v>
      </c>
      <c r="Q156" s="1" t="s">
        <v>418</v>
      </c>
    </row>
    <row r="157" spans="5:14" ht="12.75" customHeight="1">
      <c r="E157" s="67"/>
      <c r="I157" s="17"/>
      <c r="J157" s="17"/>
      <c r="K157" s="53" t="s">
        <v>419</v>
      </c>
      <c r="L157" s="17">
        <f>K156*(1-L$3)</f>
        <v>6.532900000000001</v>
      </c>
      <c r="M157" s="51"/>
      <c r="N157" s="17"/>
    </row>
    <row r="158" spans="11:14" ht="12.75" customHeight="1">
      <c r="K158" s="17"/>
      <c r="L158" s="17"/>
      <c r="M158" s="51"/>
      <c r="N158" s="17"/>
    </row>
    <row r="159" spans="1:20" ht="12.75" customHeight="1">
      <c r="A159" s="1" t="s">
        <v>560</v>
      </c>
      <c r="B159" s="1" t="s">
        <v>357</v>
      </c>
      <c r="C159" s="1">
        <v>100</v>
      </c>
      <c r="D159" s="1">
        <f>SUM(E159:M159)</f>
        <v>52.27799999999999</v>
      </c>
      <c r="E159" s="50" t="s">
        <v>561</v>
      </c>
      <c r="F159" s="1">
        <v>8.05</v>
      </c>
      <c r="G159" s="17">
        <f>F159*(1+G$3)</f>
        <v>8.05</v>
      </c>
      <c r="H159" s="13">
        <f>ROUND(G159*(1+H$3),2)</f>
        <v>8.05</v>
      </c>
      <c r="I159" s="12" t="s">
        <v>562</v>
      </c>
      <c r="J159" s="1">
        <v>8.79</v>
      </c>
      <c r="K159" s="17">
        <f>J159*(1+K$3)</f>
        <v>9.669</v>
      </c>
      <c r="L159" s="17">
        <f>K159*(1-(L$3*L$4))</f>
        <v>9.669</v>
      </c>
      <c r="M159" s="51" t="s">
        <v>563</v>
      </c>
      <c r="N159" s="1">
        <v>5.5</v>
      </c>
      <c r="O159" s="17">
        <f>N159*(1+O$3)</f>
        <v>6.8904000000000005</v>
      </c>
      <c r="P159" s="17">
        <f>O159*(1-(P$3*P$4))</f>
        <v>6.54588</v>
      </c>
      <c r="Q159" s="1" t="s">
        <v>564</v>
      </c>
      <c r="R159" s="1">
        <v>4096</v>
      </c>
      <c r="S159" s="17">
        <f>R159*(1+S$3)</f>
        <v>4096</v>
      </c>
      <c r="T159" s="17">
        <f>S159*(1-(T$3*T$4))</f>
        <v>4096</v>
      </c>
    </row>
    <row r="160" spans="2:17" ht="12.75" customHeight="1">
      <c r="B160" s="1" t="s">
        <v>366</v>
      </c>
      <c r="E160" s="67"/>
      <c r="F160" s="17"/>
      <c r="G160" s="17"/>
      <c r="H160" s="17"/>
      <c r="I160" s="17"/>
      <c r="J160" s="17"/>
      <c r="K160" s="53" t="s">
        <v>419</v>
      </c>
      <c r="L160" s="17">
        <f>K159*(1-L$3)</f>
        <v>9.669</v>
      </c>
      <c r="M160" s="51"/>
      <c r="N160" s="17"/>
      <c r="Q160" s="17"/>
    </row>
    <row r="161" spans="6:17" ht="12.75" customHeight="1">
      <c r="F161" s="17"/>
      <c r="G161" s="17"/>
      <c r="H161" s="17"/>
      <c r="K161" s="17"/>
      <c r="L161" s="17"/>
      <c r="M161" s="51"/>
      <c r="N161" s="17"/>
      <c r="Q161" s="17"/>
    </row>
    <row r="162" spans="1:17" ht="14.25" customHeight="1">
      <c r="A162" s="1" t="s">
        <v>565</v>
      </c>
      <c r="F162" s="17"/>
      <c r="G162" s="17"/>
      <c r="H162" s="17"/>
      <c r="J162" s="1">
        <v>5.939</v>
      </c>
      <c r="K162" s="17">
        <f>J162*(1+K$3)</f>
        <v>6.532900000000001</v>
      </c>
      <c r="L162" s="17">
        <f>K162*(1-(L$3*L$4))</f>
        <v>6.532900000000001</v>
      </c>
      <c r="M162" s="54" t="s">
        <v>566</v>
      </c>
      <c r="N162" s="17">
        <v>7.9</v>
      </c>
      <c r="O162" s="13">
        <f>N162*(1+O$3)</f>
        <v>9.897120000000001</v>
      </c>
      <c r="P162" s="17">
        <f>O162*(1-(P$3*P$4))</f>
        <v>9.402264</v>
      </c>
      <c r="Q162" s="17"/>
    </row>
    <row r="163" spans="11:13" ht="14.25" customHeight="1">
      <c r="K163" s="17"/>
      <c r="M163" s="51"/>
    </row>
    <row r="164" spans="1:13" ht="12.75" customHeight="1">
      <c r="A164" s="1" t="s">
        <v>567</v>
      </c>
      <c r="I164" s="1" t="s">
        <v>568</v>
      </c>
      <c r="J164" s="1">
        <v>8.79</v>
      </c>
      <c r="K164" s="17">
        <f>J164*(1+K$3)</f>
        <v>9.669</v>
      </c>
      <c r="L164" s="17">
        <f>K164*(1-(L$3*L$4))</f>
        <v>9.669</v>
      </c>
      <c r="M164" s="51"/>
    </row>
    <row r="165" spans="5:13" ht="12.75" customHeight="1">
      <c r="E165" s="70"/>
      <c r="J165" s="17"/>
      <c r="K165" s="53" t="s">
        <v>419</v>
      </c>
      <c r="L165" s="17">
        <f>K164*(1-L$3)</f>
        <v>9.669</v>
      </c>
      <c r="M165" s="51"/>
    </row>
    <row r="166" ht="12.75" customHeight="1">
      <c r="M166" s="51"/>
    </row>
    <row r="167" spans="1:27" ht="12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14" ht="14.25">
      <c r="A168" s="1" t="s">
        <v>569</v>
      </c>
      <c r="M168" s="54" t="s">
        <v>570</v>
      </c>
      <c r="N168" s="1">
        <v>15</v>
      </c>
    </row>
    <row r="170" spans="1:16" ht="14.25">
      <c r="A170" s="1" t="s">
        <v>571</v>
      </c>
      <c r="M170" s="54">
        <v>30127156</v>
      </c>
      <c r="N170" s="1">
        <v>23.5</v>
      </c>
      <c r="O170" s="17">
        <f>N170*(1+O$3)</f>
        <v>29.440800000000003</v>
      </c>
      <c r="P170" s="17">
        <f>O170*(1-(P$3*P$4))</f>
        <v>27.968760000000003</v>
      </c>
    </row>
    <row r="172" spans="1:16" ht="14.25">
      <c r="A172" s="1" t="s">
        <v>572</v>
      </c>
      <c r="M172" s="54"/>
      <c r="N172" s="1">
        <v>0</v>
      </c>
      <c r="O172" s="17">
        <f>N172*(1+O$3)</f>
        <v>0</v>
      </c>
      <c r="P172" s="17">
        <f>O172*(1-(P$3*P$4))</f>
        <v>0</v>
      </c>
    </row>
    <row r="174" spans="1:16" ht="14.25">
      <c r="A174" s="1" t="s">
        <v>573</v>
      </c>
      <c r="M174" s="54" t="s">
        <v>574</v>
      </c>
      <c r="N174" s="1">
        <v>22.5</v>
      </c>
      <c r="O174" s="17">
        <f>N174*(1+O$3)</f>
        <v>28.188000000000002</v>
      </c>
      <c r="P174" s="17">
        <f>O174*(1-(P$3*P$4))</f>
        <v>26.7786</v>
      </c>
    </row>
    <row r="177" spans="1:16" ht="14.25">
      <c r="A177" s="1" t="s">
        <v>575</v>
      </c>
      <c r="M177" s="54"/>
      <c r="N177" s="1">
        <v>0</v>
      </c>
      <c r="O177" s="17">
        <f>N177*(1+O$3)</f>
        <v>0</v>
      </c>
      <c r="P177" s="17">
        <f>O177*(1-(P$3*P$4))</f>
        <v>0</v>
      </c>
    </row>
    <row r="178" ht="14.25"/>
    <row r="184" ht="12.75"/>
    <row r="185" ht="12.75"/>
    <row r="186" ht="12.75"/>
    <row r="190" ht="12.75"/>
    <row r="191" ht="12.75"/>
    <row r="192" ht="12.75"/>
    <row r="206" ht="12.75"/>
    <row r="207" ht="12.75"/>
    <row r="208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zoomScaleSheetLayoutView="1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37" sqref="A37"/>
      <selection pane="bottomRight" activeCell="C49" sqref="C49"/>
    </sheetView>
  </sheetViews>
  <sheetFormatPr defaultColWidth="11.421875" defaultRowHeight="12.75"/>
  <cols>
    <col min="1" max="1" width="30.00390625" style="1" customWidth="1"/>
    <col min="2" max="2" width="11.421875" style="1" customWidth="1"/>
    <col min="3" max="3" width="10.140625" style="1" customWidth="1"/>
    <col min="4" max="4" width="12.00390625" style="1" customWidth="1"/>
    <col min="5" max="6" width="0" style="1" hidden="1" customWidth="1"/>
    <col min="7" max="7" width="11.421875" style="1" customWidth="1"/>
    <col min="8" max="8" width="0" style="1" hidden="1" customWidth="1"/>
    <col min="9" max="16384" width="11.421875" style="1" customWidth="1"/>
  </cols>
  <sheetData>
    <row r="1" spans="1:13" ht="12.75" customHeight="1">
      <c r="A1" s="71" t="s">
        <v>576</v>
      </c>
      <c r="B1" s="72"/>
      <c r="C1" s="72"/>
      <c r="D1" s="72"/>
      <c r="E1" s="72"/>
      <c r="F1" s="72"/>
      <c r="G1" s="72"/>
      <c r="H1" s="73" t="s">
        <v>577</v>
      </c>
      <c r="I1" s="74"/>
      <c r="J1" s="74"/>
      <c r="K1" s="74"/>
      <c r="L1" s="74"/>
      <c r="M1" s="74"/>
    </row>
    <row r="2" spans="1:13" ht="27" customHeight="1">
      <c r="A2" s="75" t="s">
        <v>578</v>
      </c>
      <c r="B2" s="5" t="s">
        <v>3</v>
      </c>
      <c r="C2" s="76" t="s">
        <v>4</v>
      </c>
      <c r="D2" s="43" t="s">
        <v>579</v>
      </c>
      <c r="E2" s="5" t="s">
        <v>580</v>
      </c>
      <c r="F2" s="5">
        <v>116.944</v>
      </c>
      <c r="G2" s="5">
        <v>160.797</v>
      </c>
      <c r="H2" s="75" t="s">
        <v>578</v>
      </c>
      <c r="I2" s="1" t="s">
        <v>8</v>
      </c>
      <c r="J2" s="5" t="s">
        <v>3</v>
      </c>
      <c r="K2" s="5" t="s">
        <v>581</v>
      </c>
      <c r="L2" s="1" t="s">
        <v>579</v>
      </c>
      <c r="M2" s="5" t="s">
        <v>580</v>
      </c>
    </row>
    <row r="3" spans="1:14" ht="14.25" customHeight="1">
      <c r="A3" s="48" t="s">
        <v>582</v>
      </c>
      <c r="B3" s="1">
        <v>63.954</v>
      </c>
      <c r="C3" s="6">
        <v>0.1</v>
      </c>
      <c r="D3" s="77">
        <v>0</v>
      </c>
      <c r="E3" s="48" t="s">
        <v>583</v>
      </c>
      <c r="F3" s="43">
        <v>0.154</v>
      </c>
      <c r="G3" s="43"/>
      <c r="K3" s="6">
        <v>0</v>
      </c>
      <c r="L3" s="6">
        <v>0</v>
      </c>
      <c r="M3" s="17">
        <f>L3*1.1</f>
        <v>0</v>
      </c>
      <c r="N3" s="1" t="s">
        <v>584</v>
      </c>
    </row>
    <row r="4" spans="1:12" ht="14.25" customHeight="1">
      <c r="A4" s="48" t="s">
        <v>585</v>
      </c>
      <c r="B4" s="1">
        <v>83.687</v>
      </c>
      <c r="C4" s="48"/>
      <c r="D4" s="6">
        <v>0.5</v>
      </c>
      <c r="E4" s="48" t="s">
        <v>586</v>
      </c>
      <c r="F4" s="43">
        <v>0.305</v>
      </c>
      <c r="G4" s="43"/>
      <c r="K4" s="48" t="s">
        <v>9</v>
      </c>
      <c r="L4" s="6">
        <v>0.5</v>
      </c>
    </row>
    <row r="5" spans="1:14" ht="14.25" customHeight="1">
      <c r="A5" s="1" t="s">
        <v>587</v>
      </c>
      <c r="B5" s="78">
        <f>ROUND(((0.029*3.1416+0.01)*0.085)*B$3,3)</f>
        <v>0.55</v>
      </c>
      <c r="C5" s="31">
        <f>B5*(1+C$3)</f>
        <v>0.6050000000000001</v>
      </c>
      <c r="D5" s="17">
        <f>C5*(1+(D$3*D$4))</f>
        <v>0.6050000000000001</v>
      </c>
      <c r="F5" s="79"/>
      <c r="G5" s="77">
        <f>((L5/D5)-1)</f>
        <v>0.04132231404958664</v>
      </c>
      <c r="H5" s="1" t="s">
        <v>588</v>
      </c>
      <c r="I5" s="33" t="s">
        <v>589</v>
      </c>
      <c r="J5" s="1">
        <v>0.63</v>
      </c>
      <c r="K5" s="17">
        <f>J5*(1+K$3)</f>
        <v>0.63</v>
      </c>
      <c r="L5" s="13">
        <f>ROUND(K5*(1+L$3),4)</f>
        <v>0.63</v>
      </c>
      <c r="M5" s="17">
        <f>L5*1.1</f>
        <v>0.6930000000000001</v>
      </c>
      <c r="N5" s="1" t="s">
        <v>590</v>
      </c>
    </row>
    <row r="6" spans="2:14" ht="12.75" customHeight="1">
      <c r="B6"/>
      <c r="C6" s="35"/>
      <c r="F6" s="79"/>
      <c r="G6" s="79"/>
      <c r="N6" s="1" t="s">
        <v>591</v>
      </c>
    </row>
    <row r="7" spans="1:14" ht="12.75" customHeight="1">
      <c r="A7" s="1" t="s">
        <v>592</v>
      </c>
      <c r="B7" s="78">
        <f>ROUND(((0.03*3.1416+0.01)*0.068)*B$3,3)</f>
        <v>0.453</v>
      </c>
      <c r="C7" s="31">
        <f>B7*(1+C$3)</f>
        <v>0.4983000000000001</v>
      </c>
      <c r="D7" s="17">
        <f>C7*(1+(D$3*D$4))</f>
        <v>0.4983000000000001</v>
      </c>
      <c r="F7" s="79"/>
      <c r="G7" s="77">
        <f>((L7/D7)-1)</f>
        <v>-0.0166566325506724</v>
      </c>
      <c r="H7" s="1" t="s">
        <v>592</v>
      </c>
      <c r="I7" s="33" t="s">
        <v>593</v>
      </c>
      <c r="J7" s="1">
        <v>0.49</v>
      </c>
      <c r="K7" s="17">
        <f>J7*(1+K$3)</f>
        <v>0.49</v>
      </c>
      <c r="L7" s="13">
        <f>ROUND(K7*(1+L$3),4)</f>
        <v>0.49</v>
      </c>
      <c r="N7" s="1" t="s">
        <v>594</v>
      </c>
    </row>
    <row r="8" spans="2:14" ht="12.75" customHeight="1">
      <c r="B8"/>
      <c r="C8" s="35"/>
      <c r="F8" s="79"/>
      <c r="G8" s="79"/>
      <c r="N8" s="1" t="s">
        <v>595</v>
      </c>
    </row>
    <row r="9" spans="1:12" ht="12.75" customHeight="1">
      <c r="A9" s="1" t="s">
        <v>596</v>
      </c>
      <c r="B9" s="78">
        <f>ROUND(((0.03*3.1416+0.01)*0.089)*B$3,3)</f>
        <v>0.593</v>
      </c>
      <c r="C9" s="31">
        <f>B9*(1+C$3)</f>
        <v>0.6523</v>
      </c>
      <c r="D9" s="17">
        <f>C9*(1+(D$3*D$4))</f>
        <v>0.6523</v>
      </c>
      <c r="F9" s="79"/>
      <c r="G9" s="77">
        <f>((L9/D9)-1)</f>
        <v>-0.01885635443814193</v>
      </c>
      <c r="H9" s="1" t="s">
        <v>596</v>
      </c>
      <c r="I9" s="33" t="s">
        <v>597</v>
      </c>
      <c r="J9" s="1">
        <v>0.64</v>
      </c>
      <c r="K9" s="17">
        <f>J9*(1+K$3)</f>
        <v>0.64</v>
      </c>
      <c r="L9" s="13">
        <f>ROUND(K9*(1+L$3),4)</f>
        <v>0.64</v>
      </c>
    </row>
    <row r="10" spans="2:14" ht="12.75" customHeight="1">
      <c r="B10"/>
      <c r="C10" s="35"/>
      <c r="F10" s="79"/>
      <c r="G10" s="79"/>
      <c r="N10" s="1" t="s">
        <v>598</v>
      </c>
    </row>
    <row r="11" spans="1:14" ht="12.75" customHeight="1">
      <c r="A11" s="1" t="s">
        <v>599</v>
      </c>
      <c r="B11" s="78">
        <f>ROUND(((0.03*3.1416+0.01)*0.15)*B$3,3)</f>
        <v>1</v>
      </c>
      <c r="C11" s="31">
        <f>B11*(1+C$3)</f>
        <v>1.1</v>
      </c>
      <c r="D11" s="17">
        <f>C11*(1+(D$3*D$4))</f>
        <v>1.1</v>
      </c>
      <c r="F11" s="79"/>
      <c r="G11" s="77">
        <f>((L11/D11)-1)</f>
        <v>0.3363636363636362</v>
      </c>
      <c r="H11" s="1" t="s">
        <v>599</v>
      </c>
      <c r="I11" s="80" t="s">
        <v>600</v>
      </c>
      <c r="J11" s="1">
        <v>1.47</v>
      </c>
      <c r="K11" s="17">
        <f>J11*(1+K$3)</f>
        <v>1.47</v>
      </c>
      <c r="L11" s="17">
        <f>ROUND(K11*(1+L$3),4)</f>
        <v>1.47</v>
      </c>
      <c r="M11" s="17"/>
      <c r="N11" s="1" t="s">
        <v>601</v>
      </c>
    </row>
    <row r="12" spans="2:14" ht="12.75" customHeight="1">
      <c r="B12"/>
      <c r="C12" s="35"/>
      <c r="F12" s="79"/>
      <c r="G12" s="79"/>
      <c r="N12" s="1" t="s">
        <v>602</v>
      </c>
    </row>
    <row r="13" spans="1:14" ht="12.75" customHeight="1">
      <c r="A13" s="1" t="s">
        <v>602</v>
      </c>
      <c r="B13" s="78">
        <f>ROUND(((0.032*3.1416+0.01)*0.045)*B$3,3)</f>
        <v>0.318</v>
      </c>
      <c r="C13" s="31">
        <f>B13*(1+C$3)</f>
        <v>0.34980000000000006</v>
      </c>
      <c r="D13" s="17">
        <f>C13*(1+(D$3*D$4))</f>
        <v>0.34980000000000006</v>
      </c>
      <c r="F13" s="79"/>
      <c r="G13" s="77">
        <f>((L13/D13)-1)</f>
        <v>0.08633504859919938</v>
      </c>
      <c r="H13" s="1" t="s">
        <v>602</v>
      </c>
      <c r="I13" s="81" t="s">
        <v>603</v>
      </c>
      <c r="J13" s="1">
        <v>0.38</v>
      </c>
      <c r="K13" s="17">
        <f>J13*(1+K$3)</f>
        <v>0.38</v>
      </c>
      <c r="L13" s="13">
        <f>ROUND(K13*(1+L$3),4)</f>
        <v>0.38</v>
      </c>
      <c r="M13" s="1">
        <v>0.1859</v>
      </c>
      <c r="N13" s="1" t="s">
        <v>604</v>
      </c>
    </row>
    <row r="14" spans="2:7" ht="12.75" customHeight="1">
      <c r="B14"/>
      <c r="C14" s="35"/>
      <c r="F14" s="79"/>
      <c r="G14" s="79"/>
    </row>
    <row r="15" spans="1:14" ht="12.75" customHeight="1">
      <c r="A15" s="1" t="s">
        <v>605</v>
      </c>
      <c r="B15" s="78">
        <f>ROUND(((0.032*3.1416+0.01)*0.083)*B$3,3)</f>
        <v>0.587</v>
      </c>
      <c r="C15" s="31">
        <f>B15*(1+C$3)</f>
        <v>0.6457</v>
      </c>
      <c r="D15" s="17">
        <f>C15*(1+(D$3*D$4))</f>
        <v>0.6457</v>
      </c>
      <c r="F15" s="79"/>
      <c r="G15" s="77">
        <f>((L15/D15)-1)</f>
        <v>-1</v>
      </c>
      <c r="H15" s="1" t="s">
        <v>605</v>
      </c>
      <c r="I15" s="80"/>
      <c r="K15" s="17"/>
      <c r="L15" s="13"/>
      <c r="M15" s="1">
        <v>0.3685</v>
      </c>
      <c r="N15" s="1" t="s">
        <v>606</v>
      </c>
    </row>
    <row r="16" spans="2:14" ht="12.75" customHeight="1">
      <c r="B16"/>
      <c r="C16" s="35"/>
      <c r="F16" s="79"/>
      <c r="G16" s="79"/>
      <c r="N16" s="1" t="s">
        <v>607</v>
      </c>
    </row>
    <row r="17" spans="1:14" ht="12.75" customHeight="1">
      <c r="A17" s="1" t="s">
        <v>591</v>
      </c>
      <c r="B17" s="78">
        <f>ROUND(((0.036*3.1416+0.01)*0.057)*B$3,3)</f>
        <v>0.449</v>
      </c>
      <c r="C17" s="31">
        <f>B17*(1+C$3)</f>
        <v>0.49390000000000006</v>
      </c>
      <c r="D17" s="17">
        <f>C17*(1+(D$3*D$4))</f>
        <v>0.49390000000000006</v>
      </c>
      <c r="F17" s="79"/>
      <c r="G17" s="77">
        <f>((L17/D17)-1)</f>
        <v>-0.02814334885604386</v>
      </c>
      <c r="H17" s="1" t="s">
        <v>591</v>
      </c>
      <c r="I17" s="80" t="s">
        <v>608</v>
      </c>
      <c r="J17" s="1">
        <v>0.48</v>
      </c>
      <c r="K17" s="17">
        <f>J17*(1+K$3)</f>
        <v>0.48</v>
      </c>
      <c r="L17" s="13">
        <f>ROUND(K17*(1+L$3),4)</f>
        <v>0.48</v>
      </c>
      <c r="N17" s="1" t="s">
        <v>587</v>
      </c>
    </row>
    <row r="18" spans="2:14" ht="12.75" customHeight="1">
      <c r="B18"/>
      <c r="F18" s="79"/>
      <c r="G18" s="79"/>
      <c r="N18" s="1" t="s">
        <v>609</v>
      </c>
    </row>
    <row r="19" spans="1:12" ht="12.75" customHeight="1">
      <c r="A19" s="1" t="s">
        <v>610</v>
      </c>
      <c r="B19" s="78">
        <f>ROUND(((0.036*3.1416+0.01)*0.081)*B$3,3)</f>
        <v>0.638</v>
      </c>
      <c r="C19" s="31">
        <f>B19*(1+C$3)</f>
        <v>0.7018000000000001</v>
      </c>
      <c r="D19" s="17">
        <f>C19*(1+(D$3*D$4))</f>
        <v>0.7018000000000001</v>
      </c>
      <c r="E19" s="82"/>
      <c r="F19" s="79"/>
      <c r="G19" s="77">
        <f>((L19/D19)-1)</f>
        <v>-0.31604445711028795</v>
      </c>
      <c r="H19" s="1" t="s">
        <v>611</v>
      </c>
      <c r="I19" s="80" t="s">
        <v>612</v>
      </c>
      <c r="J19" s="1">
        <v>0.48</v>
      </c>
      <c r="K19" s="17">
        <f>J19*(1+K$3)</f>
        <v>0.48</v>
      </c>
      <c r="L19" s="13">
        <f>ROUND(K19*(1+L$3),4)</f>
        <v>0.48</v>
      </c>
    </row>
    <row r="20" spans="2:7" ht="12.75" customHeight="1">
      <c r="B20"/>
      <c r="F20" s="79"/>
      <c r="G20" s="79"/>
    </row>
    <row r="21" spans="1:13" ht="12.75" customHeight="1">
      <c r="A21" s="1" t="s">
        <v>613</v>
      </c>
      <c r="B21" s="78">
        <f>ROUND(((0.036*3.1416+0.01)*0.112)*B$3,3)</f>
        <v>0.882</v>
      </c>
      <c r="C21" s="31">
        <f>B21*(1+C$3)</f>
        <v>0.9702000000000001</v>
      </c>
      <c r="D21" s="17">
        <f>C21*(1+(D$3*D$4))</f>
        <v>0.9702000000000001</v>
      </c>
      <c r="F21" s="79"/>
      <c r="G21" s="77">
        <f>((L21/D21)-1)</f>
        <v>0.010101010101009944</v>
      </c>
      <c r="H21" s="1" t="s">
        <v>613</v>
      </c>
      <c r="I21" s="80" t="s">
        <v>614</v>
      </c>
      <c r="J21" s="1">
        <v>0.98</v>
      </c>
      <c r="K21" s="17">
        <f>J21*(1+K$3)</f>
        <v>0.98</v>
      </c>
      <c r="L21" s="13">
        <f>ROUND(K21*(1+L$3),4)</f>
        <v>0.98</v>
      </c>
      <c r="M21" s="1">
        <v>0.5874</v>
      </c>
    </row>
    <row r="22" spans="2:14" ht="12.75" customHeight="1">
      <c r="B22"/>
      <c r="F22" s="79"/>
      <c r="G22" s="79"/>
      <c r="N22" s="1" t="s">
        <v>615</v>
      </c>
    </row>
    <row r="23" spans="1:14" ht="12.75" customHeight="1">
      <c r="A23" s="1" t="s">
        <v>616</v>
      </c>
      <c r="B23" s="78">
        <f>ROUND(((0.039*3.1416+0.01)*0.034)*B$3,3)</f>
        <v>0.288</v>
      </c>
      <c r="C23" s="31">
        <f>B23*(1+C$3)</f>
        <v>0.3168</v>
      </c>
      <c r="D23" s="17">
        <f>C23*(1+(D$3*D$4))</f>
        <v>0.3168</v>
      </c>
      <c r="F23" s="79"/>
      <c r="G23" s="77">
        <f>((L23/D23)-1)</f>
        <v>0.04166666666666674</v>
      </c>
      <c r="H23" s="1" t="s">
        <v>616</v>
      </c>
      <c r="I23" s="33" t="s">
        <v>617</v>
      </c>
      <c r="J23" s="1">
        <v>0.33</v>
      </c>
      <c r="K23" s="17">
        <f>J23*(1+K$3)</f>
        <v>0.33</v>
      </c>
      <c r="L23" s="13">
        <f>ROUND(K23*(1+L$3),4)</f>
        <v>0.33</v>
      </c>
      <c r="M23" s="1">
        <v>0.198</v>
      </c>
      <c r="N23" s="1" t="s">
        <v>618</v>
      </c>
    </row>
    <row r="24" spans="2:14" ht="12.75" customHeight="1">
      <c r="B24"/>
      <c r="F24" s="79"/>
      <c r="G24" s="79"/>
      <c r="N24" s="1" t="s">
        <v>619</v>
      </c>
    </row>
    <row r="25" spans="1:14" ht="12.75" customHeight="1">
      <c r="A25" s="1" t="s">
        <v>620</v>
      </c>
      <c r="B25" s="78">
        <f>ROUND(((0.039*3.1416+0.01)*0.043)*B$3,3)</f>
        <v>0.364</v>
      </c>
      <c r="C25" s="31">
        <f>B25*(1+C$3)</f>
        <v>0.40040000000000003</v>
      </c>
      <c r="D25" s="17">
        <f>C25*(1+(D$3*D$4))</f>
        <v>0.40040000000000003</v>
      </c>
      <c r="F25" s="79"/>
      <c r="G25" s="77">
        <f>((L25/D25)-1)</f>
        <v>0.02397602397602383</v>
      </c>
      <c r="H25" s="1" t="s">
        <v>620</v>
      </c>
      <c r="I25" s="83" t="s">
        <v>621</v>
      </c>
      <c r="J25" s="1">
        <v>0.41</v>
      </c>
      <c r="K25" s="17">
        <f>J25*(1+K$3)</f>
        <v>0.41</v>
      </c>
      <c r="L25" s="13">
        <f>ROUND(K25*(1+L$3),4)</f>
        <v>0.41</v>
      </c>
      <c r="N25" s="1" t="s">
        <v>622</v>
      </c>
    </row>
    <row r="26" spans="2:7" ht="12.75" customHeight="1">
      <c r="B26"/>
      <c r="F26" s="79"/>
      <c r="G26" s="79"/>
    </row>
    <row r="27" spans="1:13" ht="12.75" customHeight="1">
      <c r="A27" s="1" t="s">
        <v>623</v>
      </c>
      <c r="B27" s="78">
        <f>ROUND(((0.039*3.1416+0.01)*0.048)*B$3,3)</f>
        <v>0.407</v>
      </c>
      <c r="C27" s="31">
        <f>B27*(1+C$3)</f>
        <v>0.4477</v>
      </c>
      <c r="D27" s="17">
        <f>C27*(1+(D$3*D$4))</f>
        <v>0.4477</v>
      </c>
      <c r="F27" s="79"/>
      <c r="G27" s="77">
        <f>((L27/D27)-1)</f>
        <v>0.04981014071923151</v>
      </c>
      <c r="H27" s="1" t="s">
        <v>623</v>
      </c>
      <c r="I27" s="83" t="s">
        <v>624</v>
      </c>
      <c r="J27" s="1">
        <v>0.47</v>
      </c>
      <c r="K27" s="17">
        <f>J27*(1+K$3)</f>
        <v>0.47</v>
      </c>
      <c r="L27" s="13">
        <f>ROUND(K27*(1+L$3),4)</f>
        <v>0.47</v>
      </c>
      <c r="M27" s="1">
        <v>0.308</v>
      </c>
    </row>
    <row r="28" spans="2:14" ht="12.75" customHeight="1">
      <c r="B28"/>
      <c r="F28" s="79"/>
      <c r="G28" s="79"/>
      <c r="N28" s="1" t="s">
        <v>625</v>
      </c>
    </row>
    <row r="29" spans="1:12" ht="12.75" customHeight="1">
      <c r="A29" s="1" t="s">
        <v>626</v>
      </c>
      <c r="B29" s="78">
        <f>ROUND(((0.039*3.1416+0.01)*0.05)*B$3,3)</f>
        <v>0.424</v>
      </c>
      <c r="C29" s="31">
        <f>B29*(1+C$3)</f>
        <v>0.46640000000000004</v>
      </c>
      <c r="D29" s="17">
        <f>C29*(1+(D$3*D$4))</f>
        <v>0.46640000000000004</v>
      </c>
      <c r="F29" s="79"/>
      <c r="G29" s="77">
        <f>((L29/D29)-1)</f>
        <v>0.05060034305317318</v>
      </c>
      <c r="H29" s="1" t="s">
        <v>626</v>
      </c>
      <c r="I29" s="21" t="s">
        <v>627</v>
      </c>
      <c r="J29" s="1">
        <v>0.49</v>
      </c>
      <c r="K29" s="17">
        <f>J29*(1+K$3)</f>
        <v>0.49</v>
      </c>
      <c r="L29" s="13">
        <f>ROUND(K29*(1+L$3),4)</f>
        <v>0.49</v>
      </c>
    </row>
    <row r="30" spans="2:7" ht="12.75" customHeight="1">
      <c r="B30"/>
      <c r="F30" s="79"/>
      <c r="G30" s="79"/>
    </row>
    <row r="31" spans="1:14" ht="12.75" customHeight="1">
      <c r="A31" s="1" t="s">
        <v>628</v>
      </c>
      <c r="B31" s="78">
        <f>ROUND(((0.039*3.1416+0.01)*0.06)*B$3,3)</f>
        <v>0.509</v>
      </c>
      <c r="C31" s="31">
        <f>B31*(1+C$3)</f>
        <v>0.5599000000000001</v>
      </c>
      <c r="D31" s="17">
        <f>C31*(1+(D$3*D$4))</f>
        <v>0.5599000000000001</v>
      </c>
      <c r="E31" s="17"/>
      <c r="F31" s="79"/>
      <c r="G31" s="77">
        <f>((L31/D31)-1)</f>
        <v>-0.24986604750848374</v>
      </c>
      <c r="H31" s="1" t="s">
        <v>628</v>
      </c>
      <c r="I31" s="83" t="s">
        <v>629</v>
      </c>
      <c r="J31" s="1">
        <v>0.42</v>
      </c>
      <c r="K31" s="17">
        <f>J31*(1+K$3)</f>
        <v>0.42</v>
      </c>
      <c r="L31" s="13">
        <f>ROUND(K31*(1+L$3),4)</f>
        <v>0.42</v>
      </c>
      <c r="N31" s="1" t="s">
        <v>618</v>
      </c>
    </row>
    <row r="32" spans="2:14" ht="12.75" customHeight="1">
      <c r="B32"/>
      <c r="F32" s="79"/>
      <c r="G32" s="79"/>
      <c r="N32" s="1" t="s">
        <v>613</v>
      </c>
    </row>
    <row r="33" spans="1:14" ht="12.75" customHeight="1">
      <c r="A33" s="1" t="s">
        <v>630</v>
      </c>
      <c r="B33" s="78">
        <f>ROUND(((0.043*3.1416+0.01)*0.028)*B$3,3)</f>
        <v>0.26</v>
      </c>
      <c r="C33" s="31">
        <f>B33*(1+C$3)</f>
        <v>0.28600000000000003</v>
      </c>
      <c r="D33" s="17">
        <f>C33*(1+(D$3*D$4))</f>
        <v>0.28600000000000003</v>
      </c>
      <c r="F33" s="79"/>
      <c r="G33" s="77">
        <f>((L33/D33)-1)</f>
        <v>-0.020979020979021046</v>
      </c>
      <c r="H33" s="1" t="s">
        <v>630</v>
      </c>
      <c r="I33" s="33" t="s">
        <v>631</v>
      </c>
      <c r="J33" s="1">
        <v>0.28</v>
      </c>
      <c r="K33" s="17">
        <f>J33*(1+K$3)</f>
        <v>0.28</v>
      </c>
      <c r="L33" s="13">
        <f>ROUND(K33*(1+L$3),4)</f>
        <v>0.28</v>
      </c>
      <c r="M33" s="1">
        <v>0.1738</v>
      </c>
      <c r="N33" s="1" t="s">
        <v>632</v>
      </c>
    </row>
    <row r="34" spans="2:7" ht="12.75" customHeight="1">
      <c r="B34"/>
      <c r="F34" s="79"/>
      <c r="G34" s="79"/>
    </row>
    <row r="35" spans="1:14" ht="12.75" customHeight="1">
      <c r="A35" s="1" t="s">
        <v>633</v>
      </c>
      <c r="B35" s="78">
        <f>ROUND(((0.043*3.1416+0.01)*0.031)*B$3,3)</f>
        <v>0.288</v>
      </c>
      <c r="C35" s="31">
        <f>B35*(1+C$3)</f>
        <v>0.3168</v>
      </c>
      <c r="D35" s="17">
        <f>C35*(1+(D$3*D$4))</f>
        <v>0.3168</v>
      </c>
      <c r="F35"/>
      <c r="G35" s="79"/>
      <c r="H35" s="1" t="s">
        <v>633</v>
      </c>
      <c r="I35" s="33" t="s">
        <v>634</v>
      </c>
      <c r="J35" s="1">
        <v>0.32</v>
      </c>
      <c r="K35" s="17">
        <f>J35*(1+K$3)</f>
        <v>0.32</v>
      </c>
      <c r="L35" s="13">
        <f>ROUND(K35*(1+L$3),4)</f>
        <v>0.32</v>
      </c>
      <c r="N35" s="1" t="s">
        <v>635</v>
      </c>
    </row>
    <row r="36" spans="2:11" ht="12.75" customHeight="1">
      <c r="B36" s="84"/>
      <c r="F36" s="79"/>
      <c r="G36" s="79"/>
      <c r="K36" s="17"/>
    </row>
    <row r="37" spans="1:14" ht="12.75" customHeight="1">
      <c r="A37" s="1" t="s">
        <v>636</v>
      </c>
      <c r="B37" s="78">
        <f>ROUND(((0.043*3.1416+0.01)*0.034)*B$3,3)</f>
        <v>0.315</v>
      </c>
      <c r="C37" s="31">
        <f>B37*(1+C$3)</f>
        <v>0.34650000000000003</v>
      </c>
      <c r="D37" s="17">
        <f>C37*(1+(D$3*D$4))</f>
        <v>0.34650000000000003</v>
      </c>
      <c r="F37" s="79"/>
      <c r="G37" s="77">
        <f>((L37/D37)-1)</f>
        <v>0.010101010101009944</v>
      </c>
      <c r="H37" s="1" t="s">
        <v>637</v>
      </c>
      <c r="I37" s="33" t="s">
        <v>638</v>
      </c>
      <c r="J37" s="1">
        <v>0.35</v>
      </c>
      <c r="K37" s="17">
        <f>J37*(1+K$3)</f>
        <v>0.35</v>
      </c>
      <c r="L37" s="13">
        <f>ROUND(K37*(1+L$3),4)</f>
        <v>0.35</v>
      </c>
      <c r="M37" s="1">
        <v>0.2101</v>
      </c>
      <c r="N37" s="1" t="s">
        <v>639</v>
      </c>
    </row>
    <row r="38" spans="2:14" ht="12.75" customHeight="1">
      <c r="B38" s="78"/>
      <c r="F38" s="79"/>
      <c r="G38" s="79"/>
      <c r="N38" s="1" t="s">
        <v>599</v>
      </c>
    </row>
    <row r="39" spans="1:14" ht="12.75" customHeight="1">
      <c r="A39" s="1" t="s">
        <v>640</v>
      </c>
      <c r="B39" s="78">
        <f>ROUND(((0.043*3.1416+0.01)*0.046)*B$3,3)</f>
        <v>0.427</v>
      </c>
      <c r="C39" s="31">
        <f>B39*(1+C$3)</f>
        <v>0.4697</v>
      </c>
      <c r="D39" s="17">
        <f>C39*(1+(D$3*D$4))</f>
        <v>0.4697</v>
      </c>
      <c r="F39" s="79"/>
      <c r="G39" s="77">
        <f>((L39/D39)-1)</f>
        <v>-0.020651479667873063</v>
      </c>
      <c r="H39" s="1" t="s">
        <v>641</v>
      </c>
      <c r="I39" s="33" t="s">
        <v>642</v>
      </c>
      <c r="J39" s="1">
        <v>0.46</v>
      </c>
      <c r="K39" s="17">
        <f>J39*(1+K$3)</f>
        <v>0.46</v>
      </c>
      <c r="L39" s="13">
        <f>ROUND(K39*(1+L$3),4)</f>
        <v>0.46</v>
      </c>
      <c r="M39" s="1">
        <v>0.27940000000000004</v>
      </c>
      <c r="N39" s="1" t="s">
        <v>643</v>
      </c>
    </row>
    <row r="40" spans="2:13" ht="12.75" customHeight="1">
      <c r="B40" s="78"/>
      <c r="F40" s="79"/>
      <c r="G40" s="79"/>
      <c r="M40" s="1">
        <v>0.2772</v>
      </c>
    </row>
    <row r="41" spans="1:14" ht="12.75" customHeight="1">
      <c r="A41" s="1" t="s">
        <v>644</v>
      </c>
      <c r="B41" s="78">
        <f>ROUND(((0.043*3.1416+0.01)*0.05)*B$3,3)</f>
        <v>0.464</v>
      </c>
      <c r="C41" s="31">
        <f>B41*(1+C$3)</f>
        <v>0.5104000000000001</v>
      </c>
      <c r="D41" s="17">
        <f>C41*(1+(D$3*D$4))</f>
        <v>0.5104000000000001</v>
      </c>
      <c r="F41" s="79"/>
      <c r="G41" s="77">
        <f>((L41/D41)-1)</f>
        <v>-0.25548589341692796</v>
      </c>
      <c r="H41" s="1" t="s">
        <v>645</v>
      </c>
      <c r="I41" s="33" t="s">
        <v>646</v>
      </c>
      <c r="J41" s="1">
        <v>0.5</v>
      </c>
      <c r="K41" s="17">
        <v>0.38</v>
      </c>
      <c r="L41" s="13">
        <f>ROUND(K41*(1+L$3),4)</f>
        <v>0.38</v>
      </c>
      <c r="M41" s="1">
        <v>0.30360000000000004</v>
      </c>
      <c r="N41" s="1" t="s">
        <v>647</v>
      </c>
    </row>
    <row r="42" spans="2:14" ht="12.75" customHeight="1">
      <c r="B42" s="78"/>
      <c r="C42" s="17"/>
      <c r="D42" s="17"/>
      <c r="F42" s="79"/>
      <c r="G42" s="79"/>
      <c r="M42" s="1">
        <v>0.3003</v>
      </c>
      <c r="N42" s="1" t="s">
        <v>605</v>
      </c>
    </row>
    <row r="43" spans="1:13" ht="12.75" customHeight="1">
      <c r="A43" s="1" t="s">
        <v>648</v>
      </c>
      <c r="B43" s="78">
        <f>ROUND(((0.043*3.1416+0.01)*0.06)*B$3,3)</f>
        <v>0.557</v>
      </c>
      <c r="C43" s="31">
        <f>B43*(1+C$3)</f>
        <v>0.6127000000000001</v>
      </c>
      <c r="D43" s="17">
        <f>C43*(1+(D$3*D$4))</f>
        <v>0.6127000000000001</v>
      </c>
      <c r="F43" s="79"/>
      <c r="G43" s="77">
        <f>((L43/D43)-1)</f>
        <v>-0.020727925575322548</v>
      </c>
      <c r="H43" s="1" t="s">
        <v>648</v>
      </c>
      <c r="I43" s="33" t="s">
        <v>649</v>
      </c>
      <c r="J43" s="1">
        <v>0.6000000000000001</v>
      </c>
      <c r="K43" s="17">
        <f>J43*(1+K$3)</f>
        <v>0.6000000000000001</v>
      </c>
      <c r="L43" s="13">
        <f>ROUND(K43*(1+L$3),4)</f>
        <v>0.6</v>
      </c>
      <c r="M43" s="1">
        <v>0.30360000000000004</v>
      </c>
    </row>
    <row r="44" spans="2:12" ht="12.75" customHeight="1">
      <c r="B44"/>
      <c r="F44" s="79"/>
      <c r="G44" s="79"/>
      <c r="K44" s="17"/>
      <c r="L44" s="17"/>
    </row>
    <row r="45" spans="1:13" ht="12.75" customHeight="1">
      <c r="A45" s="1" t="s">
        <v>650</v>
      </c>
      <c r="B45" s="78">
        <f>ROUND(((0.043*3.1416+0.01)*0.07)*B$3,3)</f>
        <v>0.65</v>
      </c>
      <c r="C45" s="31">
        <f>B45*(1+C$3)</f>
        <v>0.7150000000000001</v>
      </c>
      <c r="D45" s="17">
        <f>C45*(1+(D$3*D$4))</f>
        <v>0.7150000000000001</v>
      </c>
      <c r="E45" s="17"/>
      <c r="F45" s="79"/>
      <c r="G45" s="77">
        <f>((L45/D45)-1)</f>
        <v>0.006993006993006867</v>
      </c>
      <c r="H45" s="1" t="s">
        <v>651</v>
      </c>
      <c r="I45" s="33" t="s">
        <v>652</v>
      </c>
      <c r="J45" s="1">
        <v>0.72</v>
      </c>
      <c r="K45" s="17">
        <f>J45*(1+K$3)</f>
        <v>0.72</v>
      </c>
      <c r="L45" s="13">
        <f>ROUND(K45*(1+L$3),4)</f>
        <v>0.72</v>
      </c>
      <c r="M45" s="1">
        <v>0.43010000000000004</v>
      </c>
    </row>
    <row r="46" spans="2:12" ht="12.75" customHeight="1">
      <c r="B46"/>
      <c r="D46" s="17"/>
      <c r="F46" s="79"/>
      <c r="G46" s="79"/>
      <c r="K46" s="17"/>
      <c r="L46" s="17"/>
    </row>
    <row r="47" spans="1:11" ht="12.75" customHeight="1">
      <c r="A47" s="1" t="s">
        <v>653</v>
      </c>
      <c r="B47" s="78">
        <f>ROUND(((0.043*3.1416+0.01)*0.07)*B$3,3)</f>
        <v>0.65</v>
      </c>
      <c r="C47" s="31">
        <f>B47*(1+C$3)</f>
        <v>0.7150000000000001</v>
      </c>
      <c r="D47" s="17">
        <f>C47*(1+(D$3*D$4))</f>
        <v>0.7150000000000001</v>
      </c>
      <c r="F47" s="79"/>
      <c r="G47" s="77">
        <f>((L47/D47)-1)</f>
        <v>-1</v>
      </c>
      <c r="K47" s="17"/>
    </row>
    <row r="48" spans="2:11" ht="12.75" customHeight="1">
      <c r="B48"/>
      <c r="D48" s="17"/>
      <c r="F48" s="79"/>
      <c r="G48" s="79"/>
      <c r="K48" s="17"/>
    </row>
    <row r="49" spans="1:11" ht="12.75" customHeight="1">
      <c r="A49" s="1" t="s">
        <v>654</v>
      </c>
      <c r="B49" s="78">
        <f>ROUND(((((0.043*3.1416+0.01)*0.07)*B$3)+0.154*1)*1.1,3)</f>
        <v>0.884</v>
      </c>
      <c r="C49" s="31">
        <f>B49*(1+C$3)</f>
        <v>0.9724</v>
      </c>
      <c r="D49" s="17">
        <f>C49*(1+(D$3*D$4))</f>
        <v>0.9724</v>
      </c>
      <c r="F49" s="79"/>
      <c r="G49" s="77">
        <f>((L49/D49)-1)</f>
        <v>-1</v>
      </c>
      <c r="K49" s="17"/>
    </row>
    <row r="50" spans="2:11" ht="12.75" customHeight="1">
      <c r="B50"/>
      <c r="D50" s="17"/>
      <c r="F50" s="79"/>
      <c r="G50" s="79"/>
      <c r="K50" s="17"/>
    </row>
    <row r="51" spans="1:11" ht="12.75" customHeight="1">
      <c r="A51" s="1" t="s">
        <v>655</v>
      </c>
      <c r="B51" s="78">
        <f>ROUND(((0.043*3.1416+0.01)*0.077)*B$3,3)</f>
        <v>0.714</v>
      </c>
      <c r="C51" s="31">
        <f>B51*(1+C$3)</f>
        <v>0.7854</v>
      </c>
      <c r="D51" s="17">
        <f>C51*(1+(D$3*D$4))</f>
        <v>0.7854</v>
      </c>
      <c r="E51" s="17"/>
      <c r="F51" s="79"/>
      <c r="G51" s="77">
        <f>((L51/D51)-1)</f>
        <v>-1</v>
      </c>
      <c r="K51" s="17"/>
    </row>
    <row r="52" spans="2:11" ht="12.75" customHeight="1">
      <c r="B52"/>
      <c r="D52" s="17"/>
      <c r="F52" s="79"/>
      <c r="G52" s="79"/>
      <c r="K52" s="17"/>
    </row>
    <row r="53" spans="1:12" ht="12.75" customHeight="1">
      <c r="A53" s="1" t="s">
        <v>656</v>
      </c>
      <c r="B53" s="78">
        <f>ROUND(((0.043*3.1416+0.01)*0.077)*F$2,3)</f>
        <v>1.306</v>
      </c>
      <c r="C53" s="31">
        <f>B53*(1+C$3)</f>
        <v>1.4366</v>
      </c>
      <c r="D53" s="17">
        <f>C53*(1+(D$3*D$4))</f>
        <v>1.4366</v>
      </c>
      <c r="E53" s="17"/>
      <c r="F53" s="79"/>
      <c r="G53" s="77">
        <f>((L53/D53)-1)</f>
        <v>-0.4709731310037589</v>
      </c>
      <c r="H53" s="1" t="s">
        <v>657</v>
      </c>
      <c r="I53" s="83" t="s">
        <v>658</v>
      </c>
      <c r="J53" s="1">
        <v>0.76</v>
      </c>
      <c r="K53" s="17">
        <f>J53*(1+K$3)</f>
        <v>0.76</v>
      </c>
      <c r="L53" s="13">
        <f>ROUND(K53*(1+L$3),4)</f>
        <v>0.76</v>
      </c>
    </row>
    <row r="54" spans="2:12" ht="12.75" customHeight="1">
      <c r="B54"/>
      <c r="D54" s="17"/>
      <c r="F54" s="79"/>
      <c r="G54" s="79"/>
      <c r="H54" s="1" t="s">
        <v>659</v>
      </c>
      <c r="I54" s="1" t="s">
        <v>660</v>
      </c>
      <c r="J54" s="1">
        <v>0.82</v>
      </c>
      <c r="K54" s="17">
        <f>J54*(1+K$3)</f>
        <v>0.82</v>
      </c>
      <c r="L54" s="17">
        <f>K54*(1-(L$3*L$4))</f>
        <v>0.82</v>
      </c>
    </row>
    <row r="55" spans="1:12" ht="12.75" customHeight="1">
      <c r="A55" s="1" t="s">
        <v>661</v>
      </c>
      <c r="B55" s="78">
        <f>ROUND(((0.043*3.1416+0.01)*0.085)*B$3,3)</f>
        <v>0.789</v>
      </c>
      <c r="C55" s="31">
        <f>B55*(1+C$3)</f>
        <v>0.8679000000000001</v>
      </c>
      <c r="D55" s="17">
        <f>C55*(1+(D$3*D$4))</f>
        <v>0.8679000000000001</v>
      </c>
      <c r="E55" s="17"/>
      <c r="F55" s="79"/>
      <c r="G55" s="77">
        <f>((L55/D55)-1)</f>
        <v>0.0024196335983406314</v>
      </c>
      <c r="H55" s="1" t="s">
        <v>662</v>
      </c>
      <c r="I55" s="33" t="s">
        <v>663</v>
      </c>
      <c r="J55" s="1">
        <v>0.87</v>
      </c>
      <c r="K55" s="17">
        <f>J55*(1+K$3)</f>
        <v>0.87</v>
      </c>
      <c r="L55" s="13">
        <f>ROUND(K55*(1+L$3),4)</f>
        <v>0.87</v>
      </c>
    </row>
    <row r="56" spans="2:7" ht="12.75" customHeight="1">
      <c r="B56"/>
      <c r="F56" s="79"/>
      <c r="G56" s="79"/>
    </row>
    <row r="57" spans="1:12" ht="14.25" customHeight="1">
      <c r="A57" s="1" t="s">
        <v>664</v>
      </c>
      <c r="B57" s="78">
        <f>ROUND(((0.043*3.1416+0.01)*0.085)*B$3,3)</f>
        <v>0.789</v>
      </c>
      <c r="C57" s="31">
        <f>B57*(1+C$3)</f>
        <v>0.8679000000000001</v>
      </c>
      <c r="D57" s="17">
        <f>C57*(1+(D$3*D$4))</f>
        <v>0.8679000000000001</v>
      </c>
      <c r="E57" s="17"/>
      <c r="F57" s="79"/>
      <c r="G57" s="77">
        <f>((L57/D57)-1)</f>
        <v>0.0024196335983406314</v>
      </c>
      <c r="I57" s="21" t="s">
        <v>665</v>
      </c>
      <c r="J57" s="1">
        <v>0.87</v>
      </c>
      <c r="K57" s="17">
        <f>J57*(1+K$3)</f>
        <v>0.87</v>
      </c>
      <c r="L57" s="13">
        <f>ROUND(K57*(1+L$3),4)</f>
        <v>0.87</v>
      </c>
    </row>
    <row r="58" spans="2:7" ht="14.25" customHeight="1">
      <c r="B58"/>
      <c r="F58" s="79"/>
      <c r="G58" s="79"/>
    </row>
    <row r="59" spans="1:12" ht="14.25" customHeight="1">
      <c r="A59" s="1" t="s">
        <v>666</v>
      </c>
      <c r="B59" s="78">
        <f>ROUND(((0.043*3.1416+0.01)*0.09)*B$3,3)</f>
        <v>0.835</v>
      </c>
      <c r="C59" s="31">
        <f>B59*(1+C$3)</f>
        <v>0.9185</v>
      </c>
      <c r="D59" s="17">
        <f>C59*(1+(D$3*D$4))</f>
        <v>0.9185</v>
      </c>
      <c r="F59" s="79"/>
      <c r="G59" s="77">
        <f>((L59/D59)-1)</f>
        <v>0.034295046271094254</v>
      </c>
      <c r="I59" s="21" t="s">
        <v>667</v>
      </c>
      <c r="J59" s="1">
        <v>0.95</v>
      </c>
      <c r="K59" s="17">
        <f>J59*(1+K$3)</f>
        <v>0.95</v>
      </c>
      <c r="L59" s="13">
        <f>ROUND(K59*(1+L$3),4)</f>
        <v>0.95</v>
      </c>
    </row>
    <row r="60" spans="2:7" ht="14.25" customHeight="1">
      <c r="B60"/>
      <c r="F60" s="79"/>
      <c r="G60" s="79"/>
    </row>
    <row r="61" spans="1:12" ht="12.75" customHeight="1">
      <c r="A61" s="1" t="s">
        <v>668</v>
      </c>
      <c r="B61" s="78">
        <f>ROUND(((0.043*3.1416+0.01)*0.095)*B$3,3)</f>
        <v>0.882</v>
      </c>
      <c r="C61" s="31">
        <f>B61*(1+C$3)</f>
        <v>0.9702000000000001</v>
      </c>
      <c r="D61" s="17">
        <f>C61*(1+(D$3*D$4))</f>
        <v>0.9702000000000001</v>
      </c>
      <c r="E61" s="17"/>
      <c r="F61" s="79"/>
      <c r="G61" s="77">
        <f>((L61/D61)-1)</f>
        <v>-0.00020614306328603504</v>
      </c>
      <c r="H61" s="1" t="s">
        <v>669</v>
      </c>
      <c r="I61" s="33" t="s">
        <v>670</v>
      </c>
      <c r="J61" s="1">
        <v>0.97</v>
      </c>
      <c r="K61" s="17">
        <f>J61*(1+K$3)</f>
        <v>0.97</v>
      </c>
      <c r="L61" s="13">
        <f>ROUND(K61*(1+L$3),4)</f>
        <v>0.97</v>
      </c>
    </row>
    <row r="62" spans="2:7" ht="14.25" customHeight="1">
      <c r="B62"/>
      <c r="F62" s="79"/>
      <c r="G62" s="79"/>
    </row>
    <row r="63" spans="1:13" ht="14.25" customHeight="1">
      <c r="A63" s="1" t="s">
        <v>671</v>
      </c>
      <c r="B63" s="78">
        <f>ROUND(((0.043*3.1416+0.01)*0.095)*B$3,3)</f>
        <v>0.882</v>
      </c>
      <c r="C63" s="31">
        <f>B63*(1+C$3)</f>
        <v>0.9702000000000001</v>
      </c>
      <c r="D63" s="17">
        <f>C63*(1+(D$3*D$4))</f>
        <v>0.9702000000000001</v>
      </c>
      <c r="F63" s="79"/>
      <c r="G63" s="77">
        <f>((L63/D63)-1)</f>
        <v>-0.00020614306328603504</v>
      </c>
      <c r="I63" s="21" t="s">
        <v>672</v>
      </c>
      <c r="J63" s="1">
        <v>0.97</v>
      </c>
      <c r="K63" s="17">
        <f>J63*(1+K$3)</f>
        <v>0.97</v>
      </c>
      <c r="L63" s="17">
        <f>ROUND(K63*(1+L$3),4)</f>
        <v>0.97</v>
      </c>
      <c r="M63" s="1">
        <v>0.5896</v>
      </c>
    </row>
    <row r="64" spans="2:7" ht="12.75" customHeight="1">
      <c r="B64"/>
      <c r="F64" s="79"/>
      <c r="G64" s="79"/>
    </row>
    <row r="65" spans="1:13" ht="14.25" customHeight="1">
      <c r="A65" s="1" t="s">
        <v>673</v>
      </c>
      <c r="B65" s="78">
        <f>ROUND(((0.043*3.1416+0.01)*0.095)*B$3,3)</f>
        <v>0.882</v>
      </c>
      <c r="C65" s="31">
        <f>B65*(1+C$3)</f>
        <v>0.9702000000000001</v>
      </c>
      <c r="D65" s="17">
        <f>C65*(1+(D$3*D$4))</f>
        <v>0.9702000000000001</v>
      </c>
      <c r="E65" s="17"/>
      <c r="F65" s="79"/>
      <c r="G65" s="77">
        <f>((L65/D65)-1)</f>
        <v>0.010101010101009944</v>
      </c>
      <c r="H65" s="1" t="s">
        <v>674</v>
      </c>
      <c r="I65" s="21" t="s">
        <v>675</v>
      </c>
      <c r="J65" s="1">
        <v>0.98</v>
      </c>
      <c r="K65" s="17">
        <f>J65*(1+K$3)</f>
        <v>0.98</v>
      </c>
      <c r="L65" s="17">
        <f>ROUND(K65*(1+L$3),4)</f>
        <v>0.98</v>
      </c>
      <c r="M65" s="1">
        <v>0.5841000000000001</v>
      </c>
    </row>
    <row r="66" spans="2:7" ht="14.25" customHeight="1">
      <c r="B66"/>
      <c r="F66" s="79"/>
      <c r="G66" s="79"/>
    </row>
    <row r="67" spans="1:7" ht="14.25" customHeight="1">
      <c r="A67" s="1" t="s">
        <v>676</v>
      </c>
      <c r="B67" s="78">
        <f>ROUND(((((0.043*3.1416+0.01)*0.095)*B$3)+0.154*1)*1.1,3)</f>
        <v>1.139</v>
      </c>
      <c r="C67" s="31">
        <f>B67*(1+C$3)</f>
        <v>1.2529000000000001</v>
      </c>
      <c r="D67" s="17">
        <f>C67*(1+(D$3*D$4))</f>
        <v>1.2529000000000001</v>
      </c>
      <c r="F67" s="79"/>
      <c r="G67" s="77">
        <f>((L67/D67)-1)</f>
        <v>-1</v>
      </c>
    </row>
    <row r="68" spans="2:7" ht="12.75" customHeight="1">
      <c r="B68"/>
      <c r="F68" s="79"/>
      <c r="G68" s="79"/>
    </row>
    <row r="69" spans="1:12" ht="14.25" customHeight="1">
      <c r="A69" s="1" t="s">
        <v>677</v>
      </c>
      <c r="B69" s="78">
        <f>ROUND(((0.043*3.1416+0.01)*0.11)*B$3,3)</f>
        <v>1.021</v>
      </c>
      <c r="C69" s="31">
        <f>B69*(1+C$3)</f>
        <v>1.1231</v>
      </c>
      <c r="D69" s="17">
        <f>C69*(1+(D$3*D$4))</f>
        <v>1.1231</v>
      </c>
      <c r="F69" s="79"/>
      <c r="G69" s="77">
        <f>((L69/D69)-1)</f>
        <v>0.006143709375834749</v>
      </c>
      <c r="H69" s="1" t="s">
        <v>678</v>
      </c>
      <c r="I69" s="33" t="s">
        <v>679</v>
      </c>
      <c r="J69" s="1">
        <v>1.13</v>
      </c>
      <c r="K69" s="17">
        <f>J69*(1+K$3)</f>
        <v>1.13</v>
      </c>
      <c r="L69" s="13">
        <f>ROUND(K69*(1+L$3),4)</f>
        <v>1.13</v>
      </c>
    </row>
    <row r="70" spans="2:7" ht="12.75" customHeight="1">
      <c r="B70"/>
      <c r="F70" s="79"/>
      <c r="G70" s="79"/>
    </row>
    <row r="71" spans="1:12" ht="12.75" customHeight="1">
      <c r="A71" s="1" t="s">
        <v>680</v>
      </c>
      <c r="B71" s="78">
        <f>ROUND(((0.043*3.1416+0.01)*0.11)*B$3,3)</f>
        <v>1.021</v>
      </c>
      <c r="C71" s="31">
        <f>B71*(1+C$3)</f>
        <v>1.1231</v>
      </c>
      <c r="D71" s="17">
        <f>C71*(1+(D$3*D$4))</f>
        <v>1.1231</v>
      </c>
      <c r="F71" s="79"/>
      <c r="G71" s="77">
        <f>((L71/D71)-1)</f>
        <v>0.006143709375834749</v>
      </c>
      <c r="H71" s="1" t="s">
        <v>681</v>
      </c>
      <c r="I71" s="33" t="s">
        <v>682</v>
      </c>
      <c r="J71" s="1">
        <v>1.13</v>
      </c>
      <c r="K71" s="17">
        <f>J71*(1+K$3)</f>
        <v>1.13</v>
      </c>
      <c r="L71" s="13">
        <f>ROUND(K71*(1+L$3),4)</f>
        <v>1.13</v>
      </c>
    </row>
    <row r="72" spans="2:7" ht="12.75" customHeight="1">
      <c r="B72"/>
      <c r="F72" s="79"/>
      <c r="G72" s="79"/>
    </row>
    <row r="73" spans="1:13" ht="12.75" customHeight="1">
      <c r="A73" s="1" t="s">
        <v>683</v>
      </c>
      <c r="B73" s="78">
        <f>ROUND(((0.043*3.1416+0.01)*0.11)*B$3,3)</f>
        <v>1.021</v>
      </c>
      <c r="C73" s="31">
        <f>B73*(1+C$3)</f>
        <v>1.1231</v>
      </c>
      <c r="D73" s="17">
        <f>C73*(1+(D$3*D$4))</f>
        <v>1.1231</v>
      </c>
      <c r="F73" s="79"/>
      <c r="G73" s="77">
        <f>((L73/D73)-1)</f>
        <v>0.006143709375834749</v>
      </c>
      <c r="I73" s="21" t="s">
        <v>682</v>
      </c>
      <c r="J73" s="1">
        <v>1.13</v>
      </c>
      <c r="K73" s="17">
        <f>J73*(1+K$3)</f>
        <v>1.13</v>
      </c>
      <c r="L73" s="17">
        <f>ROUND(K73*(1+L$3),4)</f>
        <v>1.13</v>
      </c>
      <c r="M73" s="1">
        <v>0.5896</v>
      </c>
    </row>
    <row r="74" spans="2:7" ht="12.75" customHeight="1">
      <c r="B74" s="78"/>
      <c r="F74" s="79"/>
      <c r="G74" s="79"/>
    </row>
    <row r="75" spans="1:12" ht="12.75" customHeight="1">
      <c r="A75" s="1" t="s">
        <v>684</v>
      </c>
      <c r="B75" s="78">
        <f>ROUND(((((0.043*3.1416+0.01)*0.11)*B$3)+0.154*1)*1.1,3)</f>
        <v>1.292</v>
      </c>
      <c r="C75" s="31">
        <f>B75*(1+C$3)</f>
        <v>1.4212000000000002</v>
      </c>
      <c r="D75" s="17">
        <f>C75*(1+(D$3*D$4))</f>
        <v>1.4212000000000002</v>
      </c>
      <c r="F75" s="79"/>
      <c r="G75" s="77">
        <f>((L75/D75)-1)</f>
        <v>-0.20489726991275004</v>
      </c>
      <c r="H75" s="1" t="s">
        <v>685</v>
      </c>
      <c r="I75" s="21" t="s">
        <v>686</v>
      </c>
      <c r="J75" s="1">
        <v>1.13</v>
      </c>
      <c r="K75" s="17">
        <f>J75*(1+K$3)</f>
        <v>1.13</v>
      </c>
      <c r="L75" s="13">
        <f>ROUND(K75*(1+L$3),4)</f>
        <v>1.13</v>
      </c>
    </row>
    <row r="76" spans="2:7" ht="12.75" customHeight="1">
      <c r="B76"/>
      <c r="F76" s="79"/>
      <c r="G76" s="79"/>
    </row>
    <row r="77" spans="1:7" ht="12.75" customHeight="1">
      <c r="A77" s="1" t="s">
        <v>687</v>
      </c>
      <c r="B77" s="85">
        <f>(3.1416*0.043+0.01)*0.12*F$2</f>
        <v>2.036071755264</v>
      </c>
      <c r="C77" s="31">
        <f>B77*(1+C$3)</f>
        <v>2.2396789307904004</v>
      </c>
      <c r="D77" s="17">
        <f>C77*(1+(D$3*D$4))</f>
        <v>2.2396789307904004</v>
      </c>
      <c r="F77"/>
      <c r="G77" s="77">
        <f>((L77/D77)-1)</f>
        <v>-1</v>
      </c>
    </row>
    <row r="78" spans="2:7" ht="12.75" customHeight="1">
      <c r="B78" s="78"/>
      <c r="F78" s="79"/>
      <c r="G78" s="79"/>
    </row>
    <row r="79" spans="1:12" ht="12.75" customHeight="1">
      <c r="A79" s="1" t="s">
        <v>688</v>
      </c>
      <c r="B79" s="78">
        <f>ROUND(((0.043*3.1416+0.01)*0.15)*B$3,3)</f>
        <v>1.392</v>
      </c>
      <c r="C79" s="31">
        <f>B79*(1+C$3)</f>
        <v>1.5312000000000001</v>
      </c>
      <c r="D79" s="17">
        <f>C79*(1+(D$3*D$4))</f>
        <v>1.5312000000000001</v>
      </c>
      <c r="F79" s="79"/>
      <c r="G79" s="77">
        <f>((L79/D79)-1)</f>
        <v>0.005747126436781658</v>
      </c>
      <c r="I79" s="21" t="s">
        <v>689</v>
      </c>
      <c r="J79" s="1">
        <v>1.54</v>
      </c>
      <c r="K79" s="17">
        <f>J79*(1+K$3)</f>
        <v>1.54</v>
      </c>
      <c r="L79" s="13">
        <f>ROUND(K79*(1+L$3),4)</f>
        <v>1.54</v>
      </c>
    </row>
    <row r="80" spans="2:7" ht="12.75" customHeight="1">
      <c r="B80"/>
      <c r="F80" s="79"/>
      <c r="G80" s="79"/>
    </row>
    <row r="81" spans="1:13" ht="12.75" customHeight="1">
      <c r="A81" s="1" t="s">
        <v>690</v>
      </c>
      <c r="B81" s="78">
        <f>ROUND(((((0.043*3.1416+0.01)*0.15)*B$3)+0.154*1)*1.1,3)</f>
        <v>1.7</v>
      </c>
      <c r="C81" s="31">
        <f>B81*(1+C$3)</f>
        <v>1.87</v>
      </c>
      <c r="D81" s="17">
        <f>C81*(1+(D$3*D$4))</f>
        <v>1.87</v>
      </c>
      <c r="F81" s="79"/>
      <c r="G81" s="77">
        <f>((L81/D81)-1)</f>
        <v>-1</v>
      </c>
      <c r="M81" s="1">
        <v>0.9295</v>
      </c>
    </row>
    <row r="82" spans="2:7" ht="12.75" customHeight="1">
      <c r="B82"/>
      <c r="F82" s="79"/>
      <c r="G82" s="79"/>
    </row>
    <row r="83" spans="1:12" ht="12.75" customHeight="1">
      <c r="A83" s="1" t="s">
        <v>691</v>
      </c>
      <c r="B83" s="78">
        <f>ROUND(((((0.043*3.1416+0.01)*0.15)*B$3)+0.154*2)*1.1,3)</f>
        <v>1.87</v>
      </c>
      <c r="C83" s="31">
        <f>B83*(1+C$3)</f>
        <v>2.0570000000000004</v>
      </c>
      <c r="D83" s="17">
        <f>C83*(1+(D$3*D$4))</f>
        <v>2.0570000000000004</v>
      </c>
      <c r="F83" s="79"/>
      <c r="G83" s="77">
        <f>((L83/D83)-1)</f>
        <v>-0.25133689839572204</v>
      </c>
      <c r="H83" s="1" t="s">
        <v>692</v>
      </c>
      <c r="I83" s="33" t="s">
        <v>693</v>
      </c>
      <c r="J83" s="1">
        <v>1.54</v>
      </c>
      <c r="K83" s="17">
        <f>J83*(1+K$3)</f>
        <v>1.54</v>
      </c>
      <c r="L83" s="13">
        <f>ROUND(K83*(1+L$3),4)</f>
        <v>1.54</v>
      </c>
    </row>
    <row r="84" spans="2:12" ht="12.75" customHeight="1">
      <c r="B84"/>
      <c r="F84" s="79"/>
      <c r="G84" s="79"/>
      <c r="K84" s="17"/>
      <c r="L84" s="17"/>
    </row>
    <row r="85" spans="1:12" ht="12.75" customHeight="1">
      <c r="A85" s="1" t="s">
        <v>694</v>
      </c>
      <c r="B85" s="78">
        <f>ROUND(((((0.043*3.1416+0.01)*0.17)*B$3)+0.154*1)*1.1,3)</f>
        <v>1.905</v>
      </c>
      <c r="C85" s="31">
        <f>B85*(1+C$3)</f>
        <v>2.0955000000000004</v>
      </c>
      <c r="D85" s="17">
        <f>C85*(1+(D$3*D$4))</f>
        <v>2.0955000000000004</v>
      </c>
      <c r="F85" s="79"/>
      <c r="G85" s="77">
        <f>((L85/D85)-1)</f>
        <v>-1</v>
      </c>
      <c r="K85" s="17"/>
      <c r="L85" s="17"/>
    </row>
    <row r="86" spans="2:7" ht="12.75" customHeight="1">
      <c r="B86"/>
      <c r="F86" s="79"/>
      <c r="G86" s="79"/>
    </row>
    <row r="87" spans="1:13" ht="12.75" customHeight="1">
      <c r="A87" s="1" t="s">
        <v>695</v>
      </c>
      <c r="B87" s="78">
        <f>ROUND(((((0.043*3.1416+0.01)*0.17)*B$3)+0.154*2)*1.1,3)</f>
        <v>2.074</v>
      </c>
      <c r="C87" s="31">
        <f>B87*(1+C$3)</f>
        <v>2.2814</v>
      </c>
      <c r="D87" s="17">
        <f>C87*(1+(D$3*D$4))</f>
        <v>2.2814</v>
      </c>
      <c r="F87" s="79"/>
      <c r="G87" s="77">
        <f>((L87/D87)-1)</f>
        <v>-0.2329271499956168</v>
      </c>
      <c r="H87" s="1" t="s">
        <v>696</v>
      </c>
      <c r="I87" s="33" t="s">
        <v>697</v>
      </c>
      <c r="J87" s="1">
        <v>1.75</v>
      </c>
      <c r="K87" s="17">
        <f>J87*(1+K$3)</f>
        <v>1.75</v>
      </c>
      <c r="L87" s="13">
        <f>ROUND(K87*(1+L$3),4)</f>
        <v>1.75</v>
      </c>
      <c r="M87" s="1">
        <v>1.0527</v>
      </c>
    </row>
    <row r="88" spans="2:12" ht="12.75" customHeight="1">
      <c r="B88"/>
      <c r="F88" s="79"/>
      <c r="G88" s="79"/>
      <c r="K88" s="17"/>
      <c r="L88" s="17"/>
    </row>
    <row r="89" spans="1:12" ht="12.75" customHeight="1">
      <c r="A89" s="1" t="s">
        <v>698</v>
      </c>
      <c r="B89" s="85">
        <f>(3.1416*0.043+0.01)*0.175*G$2</f>
        <v>4.082722660380001</v>
      </c>
      <c r="C89" s="31">
        <f>B89*(1+C$3)</f>
        <v>4.490994926418002</v>
      </c>
      <c r="D89" s="17">
        <f>C89*(1+(D$3*D$4))</f>
        <v>4.490994926418002</v>
      </c>
      <c r="F89"/>
      <c r="G89" s="77">
        <f>((L89/D89)-1)</f>
        <v>-1</v>
      </c>
      <c r="K89" s="17"/>
      <c r="L89" s="17"/>
    </row>
    <row r="90" spans="2:12" ht="12.75" customHeight="1">
      <c r="B90" s="78"/>
      <c r="F90" s="79"/>
      <c r="G90" s="79"/>
      <c r="K90" s="17"/>
      <c r="L90" s="17"/>
    </row>
    <row r="91" spans="1:13" ht="12.75" customHeight="1">
      <c r="A91" s="1" t="s">
        <v>699</v>
      </c>
      <c r="B91" s="78">
        <f>ROUND(((((0.043*3.1416+0.01)*0.2)*B$3)+0.154*2)*1.1,3)</f>
        <v>2.38</v>
      </c>
      <c r="C91" s="31">
        <f>B91*(1+C$3)</f>
        <v>2.618</v>
      </c>
      <c r="D91" s="17">
        <f>C91*(1+(D$3*D$4))</f>
        <v>2.618</v>
      </c>
      <c r="F91" s="79"/>
      <c r="G91" s="77">
        <f>((L91/D91)-1)</f>
        <v>-0.21313980137509547</v>
      </c>
      <c r="H91" s="1" t="s">
        <v>700</v>
      </c>
      <c r="I91" s="33" t="s">
        <v>701</v>
      </c>
      <c r="J91" s="1">
        <v>2.06</v>
      </c>
      <c r="K91" s="17">
        <f>J91*(1+K$3)</f>
        <v>2.06</v>
      </c>
      <c r="L91" s="13">
        <f>ROUND(K91*(1+L$3),4)</f>
        <v>2.06</v>
      </c>
      <c r="M91" s="1">
        <v>1.2386</v>
      </c>
    </row>
    <row r="92" spans="2:7" ht="12.75" customHeight="1">
      <c r="B92"/>
      <c r="F92" s="79"/>
      <c r="G92" s="79"/>
    </row>
    <row r="93" spans="1:12" ht="12.75" customHeight="1">
      <c r="A93" s="1" t="s">
        <v>702</v>
      </c>
      <c r="B93" s="78">
        <f>ROUND(((((0.043*3.1416+0.01)*0.23)*B$3)+0.154*2)*1.1,3)</f>
        <v>2.686</v>
      </c>
      <c r="C93" s="31">
        <f>B93*(1+C$3)</f>
        <v>2.9546</v>
      </c>
      <c r="D93" s="17">
        <f>C93*(1+(D$3*D$4))</f>
        <v>2.9546</v>
      </c>
      <c r="F93" s="79"/>
      <c r="G93" s="77">
        <f>((L93/D93)-1)</f>
        <v>-0.1640154335612265</v>
      </c>
      <c r="H93" s="1" t="s">
        <v>703</v>
      </c>
      <c r="I93" s="21" t="s">
        <v>704</v>
      </c>
      <c r="J93" s="1">
        <v>2.47</v>
      </c>
      <c r="K93" s="17">
        <f>J93*(1+K$3)</f>
        <v>2.47</v>
      </c>
      <c r="L93" s="13">
        <f>ROUND(K93*(1+L$3),4)</f>
        <v>2.47</v>
      </c>
    </row>
    <row r="94" spans="2:13" ht="12.75" customHeight="1">
      <c r="B94"/>
      <c r="F94" s="79"/>
      <c r="G94" s="79"/>
      <c r="J94" s="5"/>
      <c r="K94" s="5"/>
      <c r="M94" s="5"/>
    </row>
    <row r="95" spans="1:13" ht="12.75" customHeight="1">
      <c r="A95" s="1" t="s">
        <v>705</v>
      </c>
      <c r="B95" s="78">
        <f>ROUND(((0.057*3.1416+0.01)*0.0545)*B$3,3)</f>
        <v>0.659</v>
      </c>
      <c r="C95" s="31">
        <f>B95*(1+C$3)</f>
        <v>0.7249000000000001</v>
      </c>
      <c r="D95" s="17">
        <f>C95*(1+(D$3*D$4))</f>
        <v>0.7249000000000001</v>
      </c>
      <c r="F95" s="79"/>
      <c r="G95" s="77">
        <f>((L95/D95)-1)</f>
        <v>-1</v>
      </c>
      <c r="J95" s="5"/>
      <c r="K95" s="5"/>
      <c r="M95" s="5"/>
    </row>
    <row r="96" spans="2:13" ht="12.75" customHeight="1">
      <c r="B96" s="78"/>
      <c r="F96" s="79"/>
      <c r="G96" s="79"/>
      <c r="J96" s="5"/>
      <c r="K96" s="5"/>
      <c r="M96" s="5"/>
    </row>
    <row r="97" spans="1:13" ht="12.75" customHeight="1">
      <c r="A97" s="1" t="s">
        <v>706</v>
      </c>
      <c r="B97" s="86">
        <f>ROUND(((((0.064*3.1416+0.01)*0.12)*B$3)+0.305*3)*1.1,3)</f>
        <v>2.788</v>
      </c>
      <c r="C97" s="31">
        <f>B97*(1+C$3)</f>
        <v>3.0668</v>
      </c>
      <c r="D97" s="17">
        <f>C97*(1+(D$3*D$4))</f>
        <v>3.0668</v>
      </c>
      <c r="F97" s="79"/>
      <c r="G97" s="77">
        <f>((L97/D97)-1)</f>
        <v>-1</v>
      </c>
      <c r="K97" s="6"/>
      <c r="L97" s="6"/>
      <c r="M97" s="17"/>
    </row>
    <row r="98" spans="2:12" ht="12.75" customHeight="1">
      <c r="B98"/>
      <c r="F98" s="79"/>
      <c r="G98" s="79"/>
      <c r="K98" s="48"/>
      <c r="L98" s="6"/>
    </row>
    <row r="99" ht="12.75"/>
    <row r="100" ht="12.75"/>
    <row r="101" ht="12.75"/>
    <row r="102" ht="12.75"/>
    <row r="103" ht="12.75"/>
    <row r="104" ht="14.25"/>
    <row r="147" ht="12.75"/>
    <row r="148" ht="12.75"/>
    <row r="149" ht="12.75"/>
    <row r="158" ht="12.75"/>
    <row r="159" ht="12.75"/>
    <row r="160" ht="12.75"/>
    <row r="183" ht="12.75"/>
    <row r="184" ht="12.75"/>
    <row r="185" ht="12.75"/>
    <row r="189" ht="12.75"/>
    <row r="190" ht="12.75"/>
    <row r="191" ht="12.75"/>
    <row r="205" ht="12.75"/>
    <row r="206" ht="12.75"/>
    <row r="207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3"/>
  <sheetViews>
    <sheetView zoomScaleSheetLayoutView="10" workbookViewId="0" topLeftCell="G148">
      <selection activeCell="M163" sqref="M163"/>
    </sheetView>
  </sheetViews>
  <sheetFormatPr defaultColWidth="11.421875" defaultRowHeight="12.75"/>
  <cols>
    <col min="1" max="1" width="30.00390625" style="1" customWidth="1"/>
    <col min="2" max="2" width="11.421875" style="1" customWidth="1"/>
    <col min="3" max="3" width="10.140625" style="1" customWidth="1"/>
    <col min="4" max="4" width="12.00390625" style="1" customWidth="1"/>
    <col min="5" max="5" width="11.421875" style="1" customWidth="1"/>
    <col min="6" max="6" width="12.28125" style="1" customWidth="1"/>
    <col min="7" max="7" width="11.421875" style="1" customWidth="1"/>
    <col min="8" max="8" width="28.00390625" style="1" customWidth="1"/>
    <col min="9" max="16384" width="11.421875" style="1" customWidth="1"/>
  </cols>
  <sheetData>
    <row r="1" spans="1:13" ht="12.75" customHeight="1">
      <c r="A1" s="71" t="s">
        <v>576</v>
      </c>
      <c r="B1" s="72"/>
      <c r="C1" s="72"/>
      <c r="D1" s="72"/>
      <c r="E1" s="72"/>
      <c r="F1" s="72"/>
      <c r="G1" s="72"/>
      <c r="H1" s="73" t="s">
        <v>577</v>
      </c>
      <c r="I1" s="74"/>
      <c r="J1" s="74"/>
      <c r="K1" s="74"/>
      <c r="L1" s="74"/>
      <c r="M1" s="74"/>
    </row>
    <row r="2" spans="1:13" ht="27" customHeight="1">
      <c r="A2" s="75" t="s">
        <v>578</v>
      </c>
      <c r="B2" s="5" t="s">
        <v>3</v>
      </c>
      <c r="C2" s="76" t="s">
        <v>4</v>
      </c>
      <c r="D2" s="43" t="s">
        <v>579</v>
      </c>
      <c r="E2" s="5" t="s">
        <v>580</v>
      </c>
      <c r="F2" s="5">
        <v>63.954</v>
      </c>
      <c r="G2" s="5" t="s">
        <v>707</v>
      </c>
      <c r="H2" s="75" t="s">
        <v>578</v>
      </c>
      <c r="I2" s="1" t="s">
        <v>8</v>
      </c>
      <c r="J2" s="5" t="s">
        <v>3</v>
      </c>
      <c r="K2" s="5" t="s">
        <v>581</v>
      </c>
      <c r="L2" s="1" t="s">
        <v>579</v>
      </c>
      <c r="M2" s="5" t="s">
        <v>580</v>
      </c>
    </row>
    <row r="3" spans="1:15" ht="14.25" customHeight="1">
      <c r="A3" s="48" t="s">
        <v>582</v>
      </c>
      <c r="B3" s="1">
        <v>63.954</v>
      </c>
      <c r="C3" s="6">
        <v>0.1</v>
      </c>
      <c r="D3" s="77">
        <v>-0.1</v>
      </c>
      <c r="E3" s="48" t="s">
        <v>583</v>
      </c>
      <c r="F3" s="43">
        <v>0.154</v>
      </c>
      <c r="G3" s="43"/>
      <c r="K3" s="6">
        <f>((1.05)*(1.07)*(1.12))-1</f>
        <v>0.2583200000000003</v>
      </c>
      <c r="L3" s="6">
        <v>0</v>
      </c>
      <c r="M3" s="17">
        <f>L3*1.1</f>
        <v>0</v>
      </c>
      <c r="O3" s="6">
        <f>((1+0.05)*(1+0.07))-1</f>
        <v>0.12350000000000017</v>
      </c>
    </row>
    <row r="4" spans="3:12" ht="14.25" customHeight="1">
      <c r="C4" s="48" t="s">
        <v>9</v>
      </c>
      <c r="D4" s="6">
        <v>0.5</v>
      </c>
      <c r="E4" s="48" t="s">
        <v>586</v>
      </c>
      <c r="F4" s="43">
        <v>0.305</v>
      </c>
      <c r="G4" s="43"/>
      <c r="K4" s="48" t="s">
        <v>9</v>
      </c>
      <c r="L4" s="6">
        <v>0.5</v>
      </c>
    </row>
    <row r="5" spans="1:8" ht="14.25" customHeight="1">
      <c r="A5" s="75" t="s">
        <v>708</v>
      </c>
      <c r="B5" s="84"/>
      <c r="C5" s="48"/>
      <c r="D5" s="6"/>
      <c r="F5" s="79"/>
      <c r="G5" s="79"/>
      <c r="H5" s="75" t="s">
        <v>708</v>
      </c>
    </row>
    <row r="6" spans="1:7" ht="12.75" customHeight="1">
      <c r="A6" s="1" t="s">
        <v>709</v>
      </c>
      <c r="B6" s="84">
        <v>0.205</v>
      </c>
      <c r="C6" s="31">
        <f>B6*(1+C$3)</f>
        <v>0.2255</v>
      </c>
      <c r="D6" s="17">
        <f>C6*(1+(D$3*D$4))</f>
        <v>0.214225</v>
      </c>
      <c r="F6" s="79"/>
      <c r="G6" s="79"/>
    </row>
    <row r="7" spans="2:7" ht="12.75" customHeight="1">
      <c r="B7" s="84"/>
      <c r="F7" s="79"/>
      <c r="G7" s="79"/>
    </row>
    <row r="8" spans="1:8" ht="14.25" customHeight="1">
      <c r="A8" s="1" t="s">
        <v>710</v>
      </c>
      <c r="B8" s="84">
        <v>0.8160000000000001</v>
      </c>
      <c r="C8" s="31">
        <f>B8*(1+C$3)</f>
        <v>0.8976000000000002</v>
      </c>
      <c r="D8" s="17">
        <f>C8*(1+(D$3*D$4))</f>
        <v>0.8527200000000001</v>
      </c>
      <c r="F8" s="79"/>
      <c r="G8" s="79"/>
      <c r="H8" s="1" t="s">
        <v>710</v>
      </c>
    </row>
    <row r="9" spans="2:7" ht="12.75" customHeight="1">
      <c r="B9" s="84"/>
      <c r="F9" s="79"/>
      <c r="G9" s="79"/>
    </row>
    <row r="10" spans="1:8" ht="14.25" customHeight="1">
      <c r="A10" s="1" t="s">
        <v>711</v>
      </c>
      <c r="B10" s="84">
        <v>1.499</v>
      </c>
      <c r="C10" s="31">
        <f>B10*(1+C$3)</f>
        <v>1.6489000000000003</v>
      </c>
      <c r="D10" s="17">
        <f>C10*(1+(D$3*D$4))</f>
        <v>1.5664550000000002</v>
      </c>
      <c r="F10" s="79"/>
      <c r="G10" s="79"/>
      <c r="H10" s="1" t="s">
        <v>711</v>
      </c>
    </row>
    <row r="11" spans="2:7" ht="12.75" customHeight="1">
      <c r="B11" s="84"/>
      <c r="F11" s="79"/>
      <c r="G11" s="79"/>
    </row>
    <row r="12" spans="1:7" ht="14.25" customHeight="1">
      <c r="A12" s="1" t="s">
        <v>712</v>
      </c>
      <c r="B12" s="84">
        <v>2.09</v>
      </c>
      <c r="C12" s="31">
        <f>B12*(1+C$3)</f>
        <v>2.299</v>
      </c>
      <c r="D12" s="17">
        <f>C12*(1+(D$3*D$4))</f>
        <v>2.18405</v>
      </c>
      <c r="F12" s="79"/>
      <c r="G12" s="79"/>
    </row>
    <row r="13" spans="2:7" ht="12.75" customHeight="1">
      <c r="B13" s="84"/>
      <c r="F13" s="79"/>
      <c r="G13" s="79"/>
    </row>
    <row r="14" spans="1:15" ht="14.25" customHeight="1">
      <c r="A14" s="1" t="s">
        <v>713</v>
      </c>
      <c r="B14" s="84">
        <v>0.257</v>
      </c>
      <c r="C14" s="31">
        <f>B14*(1+C$3)</f>
        <v>0.2827</v>
      </c>
      <c r="D14" s="17">
        <f>C14*(1+(D$3*D$4))</f>
        <v>0.268565</v>
      </c>
      <c r="F14" s="79"/>
      <c r="G14" s="79"/>
      <c r="H14" s="1" t="s">
        <v>713</v>
      </c>
      <c r="I14" s="1" t="s">
        <v>714</v>
      </c>
      <c r="J14" s="1">
        <v>0.36</v>
      </c>
      <c r="K14" s="17">
        <f>J14*(1+K$3)</f>
        <v>0.4529952000000001</v>
      </c>
      <c r="L14" s="18">
        <f>ROUND(K14*(1+L$3),4)</f>
        <v>0.453</v>
      </c>
      <c r="O14" s="87">
        <f>J14*(1+O$3)</f>
        <v>0.40446000000000004</v>
      </c>
    </row>
    <row r="15" spans="2:7" ht="12.75" customHeight="1">
      <c r="B15" s="84"/>
      <c r="F15" s="79"/>
      <c r="G15" s="79"/>
    </row>
    <row r="16" spans="1:8" ht="14.25" customHeight="1">
      <c r="A16" s="1" t="s">
        <v>715</v>
      </c>
      <c r="B16" s="84">
        <v>0.66</v>
      </c>
      <c r="C16" s="31">
        <f>B16*(1+C$3)</f>
        <v>0.7260000000000001</v>
      </c>
      <c r="D16" s="17">
        <f>C16*(1+(D$3*D$4))</f>
        <v>0.6897000000000001</v>
      </c>
      <c r="F16" s="79"/>
      <c r="G16" s="79"/>
      <c r="H16" s="1" t="s">
        <v>715</v>
      </c>
    </row>
    <row r="17" spans="2:7" ht="12.75" customHeight="1">
      <c r="B17" s="84"/>
      <c r="D17" s="17"/>
      <c r="F17" s="79"/>
      <c r="G17" s="79"/>
    </row>
    <row r="18" spans="2:8" ht="12.75" customHeight="1">
      <c r="B18" s="84"/>
      <c r="D18" s="17"/>
      <c r="F18" s="79"/>
      <c r="G18" s="79"/>
      <c r="H18" s="1" t="s">
        <v>716</v>
      </c>
    </row>
    <row r="19" spans="2:7" ht="12.75" customHeight="1">
      <c r="B19" s="84"/>
      <c r="F19" s="79"/>
      <c r="G19" s="79"/>
    </row>
    <row r="20" spans="1:15" ht="14.25" customHeight="1">
      <c r="A20" s="1" t="s">
        <v>643</v>
      </c>
      <c r="B20" s="84">
        <v>0.305</v>
      </c>
      <c r="C20" s="31">
        <f>B20*(1+C$3)</f>
        <v>0.3355</v>
      </c>
      <c r="D20" s="17">
        <f>C20*(1+(D$3*D$4))</f>
        <v>0.318725</v>
      </c>
      <c r="F20" s="79"/>
      <c r="G20" s="79"/>
      <c r="H20" s="1" t="s">
        <v>717</v>
      </c>
      <c r="I20" s="1" t="s">
        <v>718</v>
      </c>
      <c r="J20" s="1">
        <v>0.4</v>
      </c>
      <c r="K20" s="17">
        <f>J20*(1+K$3)</f>
        <v>0.5033280000000001</v>
      </c>
      <c r="L20" s="18">
        <f>ROUND(K20*(1+L$3),4)</f>
        <v>0.5033</v>
      </c>
      <c r="O20" s="87">
        <f>J20*(1+O$3)</f>
        <v>0.4494000000000001</v>
      </c>
    </row>
    <row r="21" spans="2:7" ht="12.75" customHeight="1">
      <c r="B21" s="84"/>
      <c r="F21" s="79"/>
      <c r="G21" s="79"/>
    </row>
    <row r="22" spans="1:8" ht="14.25" customHeight="1">
      <c r="A22" s="1" t="s">
        <v>632</v>
      </c>
      <c r="B22" s="84">
        <v>0.305</v>
      </c>
      <c r="C22" s="31">
        <f>B22*(1+C$3)</f>
        <v>0.3355</v>
      </c>
      <c r="D22" s="17">
        <f>C22*(1+(D$3*D$4))</f>
        <v>0.318725</v>
      </c>
      <c r="F22" s="79"/>
      <c r="G22" s="79"/>
      <c r="H22" s="1" t="s">
        <v>719</v>
      </c>
    </row>
    <row r="23" spans="2:7" ht="12.75" customHeight="1">
      <c r="B23" s="84"/>
      <c r="F23" s="79"/>
      <c r="G23" s="79"/>
    </row>
    <row r="24" spans="1:15" ht="14.25" customHeight="1">
      <c r="A24" s="1" t="s">
        <v>720</v>
      </c>
      <c r="B24" s="84">
        <v>0.359</v>
      </c>
      <c r="C24" s="31">
        <f>B24*(1+C$3)</f>
        <v>0.39490000000000003</v>
      </c>
      <c r="D24" s="17">
        <f>C24*(1+(D$3*D$4))</f>
        <v>0.375155</v>
      </c>
      <c r="F24" s="79"/>
      <c r="G24" s="79"/>
      <c r="H24" s="1" t="s">
        <v>720</v>
      </c>
      <c r="I24" s="33" t="s">
        <v>721</v>
      </c>
      <c r="J24" s="1">
        <v>0.32</v>
      </c>
      <c r="K24" s="17">
        <f>J24*(1+K$3)</f>
        <v>0.4026624000000001</v>
      </c>
      <c r="L24" s="18">
        <f>ROUND(K24*(1+L$3),4)</f>
        <v>0.4027</v>
      </c>
      <c r="M24" s="1">
        <v>0.2871</v>
      </c>
      <c r="O24" s="87">
        <f>J24*(1+O$3)</f>
        <v>0.35952000000000006</v>
      </c>
    </row>
    <row r="25" spans="2:7" ht="12.75" customHeight="1">
      <c r="B25" s="84"/>
      <c r="F25" s="79"/>
      <c r="G25" s="79"/>
    </row>
    <row r="26" spans="1:15" ht="14.25" customHeight="1">
      <c r="A26" s="1" t="s">
        <v>722</v>
      </c>
      <c r="B26" s="84">
        <v>0.917</v>
      </c>
      <c r="C26" s="31">
        <f>B26*(1+C$3)</f>
        <v>1.0087000000000002</v>
      </c>
      <c r="D26" s="17">
        <f>C26*(1+(D$3*D$4))</f>
        <v>0.9582650000000001</v>
      </c>
      <c r="F26" s="79"/>
      <c r="G26" s="79"/>
      <c r="H26" s="1" t="s">
        <v>722</v>
      </c>
      <c r="I26" s="33" t="s">
        <v>723</v>
      </c>
      <c r="J26" s="1">
        <v>0.76</v>
      </c>
      <c r="K26" s="17">
        <f>J26*(1+K$3)</f>
        <v>0.9563232000000003</v>
      </c>
      <c r="L26" s="18">
        <f>ROUND(K26*(1+L$3),4)</f>
        <v>0.9563</v>
      </c>
      <c r="M26" s="1">
        <v>0.6303000000000001</v>
      </c>
      <c r="O26" s="87">
        <f>J26*(1+O$3)</f>
        <v>0.8538600000000002</v>
      </c>
    </row>
    <row r="27" spans="2:7" ht="12.75" customHeight="1">
      <c r="B27" s="84"/>
      <c r="F27" s="79"/>
      <c r="G27" s="79"/>
    </row>
    <row r="28" spans="1:12" ht="14.25" customHeight="1">
      <c r="A28" s="1" t="s">
        <v>724</v>
      </c>
      <c r="B28" s="84">
        <v>1.599</v>
      </c>
      <c r="C28" s="31">
        <f>B28*(1+C$3)</f>
        <v>1.7589000000000001</v>
      </c>
      <c r="D28" s="17">
        <f>C28*(1+(D$3*D$4))</f>
        <v>1.670955</v>
      </c>
      <c r="F28" s="79"/>
      <c r="G28" s="79"/>
      <c r="I28" s="88" t="s">
        <v>725</v>
      </c>
      <c r="K28" s="17"/>
      <c r="L28" s="17"/>
    </row>
    <row r="29" spans="2:7" ht="12.75" customHeight="1">
      <c r="B29" s="84"/>
      <c r="F29" s="79"/>
      <c r="G29" s="79"/>
    </row>
    <row r="30" spans="1:15" ht="14.25" customHeight="1">
      <c r="A30" s="1" t="s">
        <v>726</v>
      </c>
      <c r="B30" s="84">
        <v>2.191</v>
      </c>
      <c r="C30" s="31">
        <f>B30*(1+C$3)</f>
        <v>2.4101</v>
      </c>
      <c r="D30" s="17">
        <f>C30*(1+(D$3*D$4))</f>
        <v>2.289595</v>
      </c>
      <c r="F30" s="79"/>
      <c r="G30" s="79"/>
      <c r="H30" s="1" t="s">
        <v>726</v>
      </c>
      <c r="I30" s="89" t="s">
        <v>727</v>
      </c>
      <c r="J30" s="1">
        <v>1.18</v>
      </c>
      <c r="K30" s="17">
        <f>J30*(1+K$3)</f>
        <v>1.4848176000000004</v>
      </c>
      <c r="L30" s="18">
        <f>ROUND(K30*(1+L$3),4)</f>
        <v>1.4848</v>
      </c>
      <c r="M30" s="1">
        <v>0.9757</v>
      </c>
      <c r="O30" s="87">
        <f>J30*(1+O$3)</f>
        <v>1.32573</v>
      </c>
    </row>
    <row r="31" spans="2:11" ht="12.75" customHeight="1">
      <c r="B31" s="84"/>
      <c r="C31" s="17"/>
      <c r="D31" s="17"/>
      <c r="F31" s="79"/>
      <c r="G31" s="79"/>
      <c r="I31" s="88"/>
      <c r="K31" s="17"/>
    </row>
    <row r="32" spans="1:15" ht="14.25" customHeight="1">
      <c r="A32" s="1" t="s">
        <v>728</v>
      </c>
      <c r="B32" s="84">
        <v>0.66</v>
      </c>
      <c r="C32" s="31">
        <f>B32*(1+C$3)</f>
        <v>0.7260000000000001</v>
      </c>
      <c r="D32" s="17">
        <f>C32*(1+(D$3*D$4))</f>
        <v>0.6897000000000001</v>
      </c>
      <c r="F32" s="79"/>
      <c r="G32" s="79"/>
      <c r="I32" s="89" t="s">
        <v>729</v>
      </c>
      <c r="J32" s="1">
        <v>0.44</v>
      </c>
      <c r="K32" s="17">
        <f>J32*(1+K$3)</f>
        <v>0.5536608000000002</v>
      </c>
      <c r="L32" s="18">
        <f>ROUND(K32*(1+L$3),4)</f>
        <v>0.5537</v>
      </c>
      <c r="O32" s="87">
        <f>J32*(1+O$3)</f>
        <v>0.49434000000000006</v>
      </c>
    </row>
    <row r="33" spans="2:15" ht="12.75" customHeight="1">
      <c r="B33" s="84"/>
      <c r="F33" s="79"/>
      <c r="G33" s="79"/>
      <c r="I33" s="1" t="s">
        <v>730</v>
      </c>
      <c r="J33" s="1">
        <v>0.37</v>
      </c>
      <c r="K33" s="17">
        <f>J33*(1+K$3)</f>
        <v>0.4655784000000001</v>
      </c>
      <c r="L33" s="18">
        <f>ROUND(K33*(1+L$3),4)</f>
        <v>0.4656</v>
      </c>
      <c r="O33" s="87">
        <f>J33*(1+O$3)</f>
        <v>0.41569500000000004</v>
      </c>
    </row>
    <row r="34" spans="1:8" ht="14.25" customHeight="1">
      <c r="A34" s="1" t="s">
        <v>731</v>
      </c>
      <c r="B34" s="84">
        <v>1.079</v>
      </c>
      <c r="C34" s="31">
        <f>B34*(1+C$3)</f>
        <v>1.1869</v>
      </c>
      <c r="D34" s="17">
        <f>C34*(1+(D$3*D$4))</f>
        <v>1.127555</v>
      </c>
      <c r="F34" s="79"/>
      <c r="G34" s="79"/>
      <c r="H34" s="1" t="s">
        <v>731</v>
      </c>
    </row>
    <row r="35" spans="2:7" ht="12.75" customHeight="1">
      <c r="B35" s="84"/>
      <c r="F35" s="79"/>
      <c r="G35" s="79"/>
    </row>
    <row r="36" spans="1:15" ht="14.25" customHeight="1">
      <c r="A36" s="1" t="s">
        <v>732</v>
      </c>
      <c r="B36" s="84">
        <v>0.66</v>
      </c>
      <c r="C36" s="31">
        <f>B36*(1+C$3)</f>
        <v>0.7260000000000001</v>
      </c>
      <c r="D36" s="17">
        <f>C36*(1+(D$3*D$4))</f>
        <v>0.6897000000000001</v>
      </c>
      <c r="F36" s="79"/>
      <c r="G36" s="79"/>
      <c r="H36" s="1" t="s">
        <v>732</v>
      </c>
      <c r="I36" s="33" t="s">
        <v>733</v>
      </c>
      <c r="J36" s="1">
        <v>0.42</v>
      </c>
      <c r="K36" s="17">
        <f>J36*(1+K$3)</f>
        <v>0.5284944000000001</v>
      </c>
      <c r="L36" s="18">
        <f>ROUND(K36*(1+L$3),4)</f>
        <v>0.5285</v>
      </c>
      <c r="M36" s="1">
        <v>0.3509</v>
      </c>
      <c r="O36" s="87">
        <f>J36*(1+O$3)</f>
        <v>0.47187000000000007</v>
      </c>
    </row>
    <row r="37" spans="2:7" ht="12.75" customHeight="1">
      <c r="B37" s="84"/>
      <c r="F37" s="79"/>
      <c r="G37" s="79"/>
    </row>
    <row r="38" spans="1:7" ht="12.75" customHeight="1">
      <c r="A38" s="1" t="s">
        <v>734</v>
      </c>
      <c r="B38" s="84">
        <v>2.461</v>
      </c>
      <c r="C38" s="31">
        <f>B38*(1+C$3)</f>
        <v>2.7071</v>
      </c>
      <c r="D38" s="17">
        <f>C38*(1+(D$3*D$4))</f>
        <v>2.571745</v>
      </c>
      <c r="F38" s="79"/>
      <c r="G38" s="79"/>
    </row>
    <row r="39" spans="2:7" ht="12.75" customHeight="1">
      <c r="B39" s="84"/>
      <c r="F39" s="79"/>
      <c r="G39" s="79"/>
    </row>
    <row r="40" spans="1:8" ht="14.25" customHeight="1">
      <c r="A40" s="1" t="s">
        <v>604</v>
      </c>
      <c r="B40" s="84">
        <v>0.359</v>
      </c>
      <c r="C40" s="31">
        <f>B40*(1+C$3)</f>
        <v>0.39490000000000003</v>
      </c>
      <c r="D40" s="17">
        <f>C40*(1+(D$3*D$4))</f>
        <v>0.375155</v>
      </c>
      <c r="F40" s="79"/>
      <c r="G40" s="79"/>
      <c r="H40" s="1" t="s">
        <v>604</v>
      </c>
    </row>
    <row r="41" spans="2:7" ht="12.75" customHeight="1">
      <c r="B41" s="84"/>
      <c r="F41" s="79"/>
      <c r="G41" s="79"/>
    </row>
    <row r="42" spans="1:15" ht="14.25" customHeight="1">
      <c r="A42" s="1" t="s">
        <v>735</v>
      </c>
      <c r="B42" s="84">
        <v>0.447</v>
      </c>
      <c r="C42" s="31">
        <f>B42*(1+C$3)</f>
        <v>0.4917</v>
      </c>
      <c r="D42" s="17">
        <f>C42*(1+(D$3*D$4))</f>
        <v>0.467115</v>
      </c>
      <c r="F42" s="79"/>
      <c r="G42" s="79"/>
      <c r="H42" s="1" t="s">
        <v>735</v>
      </c>
      <c r="I42" s="1" t="s">
        <v>736</v>
      </c>
      <c r="J42" s="1">
        <v>0.43</v>
      </c>
      <c r="K42" s="17">
        <f>J42*(1+K$3)</f>
        <v>0.5410776000000002</v>
      </c>
      <c r="L42" s="18">
        <f>ROUND(K42*(1+L$3),4)</f>
        <v>0.5411</v>
      </c>
      <c r="M42" s="1">
        <v>0.3564</v>
      </c>
      <c r="O42" s="87">
        <f>J42*(1+O$3)</f>
        <v>0.48310500000000006</v>
      </c>
    </row>
    <row r="43" spans="2:15" ht="12.75" customHeight="1">
      <c r="B43" s="84"/>
      <c r="F43" s="79"/>
      <c r="G43" s="79"/>
      <c r="I43" s="33" t="s">
        <v>737</v>
      </c>
      <c r="J43" s="1">
        <v>0.42</v>
      </c>
      <c r="K43" s="17">
        <f>J43*(1+K$3)</f>
        <v>0.5284944000000001</v>
      </c>
      <c r="L43" s="18">
        <f>ROUND(K43*(1+L$3),4)</f>
        <v>0.5285</v>
      </c>
      <c r="M43" s="1">
        <v>0.3564</v>
      </c>
      <c r="O43" s="87">
        <f>J43*(1+O$3)</f>
        <v>0.47187000000000007</v>
      </c>
    </row>
    <row r="44" spans="1:15" ht="14.25" customHeight="1">
      <c r="A44" s="1" t="s">
        <v>738</v>
      </c>
      <c r="B44" s="84">
        <v>1.005</v>
      </c>
      <c r="C44" s="31">
        <f>B44*(1+C$3)</f>
        <v>1.1055</v>
      </c>
      <c r="D44" s="17">
        <f>C44*(1+(D$3*D$4))</f>
        <v>1.050225</v>
      </c>
      <c r="F44" s="79"/>
      <c r="G44" s="79"/>
      <c r="H44" s="1" t="s">
        <v>739</v>
      </c>
      <c r="I44" s="33" t="s">
        <v>740</v>
      </c>
      <c r="J44" s="1">
        <v>0.8</v>
      </c>
      <c r="K44" s="17">
        <f>J44*(1+K$3)</f>
        <v>1.0066560000000002</v>
      </c>
      <c r="L44" s="18">
        <f>ROUND(K44*(1+L$3),4)</f>
        <v>1.0067</v>
      </c>
      <c r="M44" s="1">
        <v>0.3564</v>
      </c>
      <c r="O44" s="87">
        <f>J44*(1+O$3)</f>
        <v>0.8988000000000002</v>
      </c>
    </row>
    <row r="45" spans="2:7" ht="12.75" customHeight="1">
      <c r="B45" s="84"/>
      <c r="F45" s="79"/>
      <c r="G45" s="79"/>
    </row>
    <row r="46" spans="1:8" ht="14.25" customHeight="1">
      <c r="A46" s="1" t="s">
        <v>741</v>
      </c>
      <c r="B46" s="84">
        <v>1.687</v>
      </c>
      <c r="C46" s="31">
        <f>B46*(1+C$3)</f>
        <v>1.8557000000000001</v>
      </c>
      <c r="D46" s="17">
        <f>C46*(1+(D$3*D$4))</f>
        <v>1.762915</v>
      </c>
      <c r="F46" s="79"/>
      <c r="G46" s="79"/>
      <c r="H46" s="1" t="s">
        <v>741</v>
      </c>
    </row>
    <row r="47" spans="2:7" ht="12.75" customHeight="1">
      <c r="B47" s="84"/>
      <c r="F47" s="79"/>
      <c r="G47" s="79"/>
    </row>
    <row r="48" spans="1:15" ht="14.25" customHeight="1">
      <c r="A48" s="1" t="s">
        <v>742</v>
      </c>
      <c r="B48" s="84">
        <v>0.779</v>
      </c>
      <c r="C48" s="31">
        <f>B48*(1+C$3)</f>
        <v>0.8569000000000001</v>
      </c>
      <c r="D48" s="17">
        <f>C48*(1+(D$3*D$4))</f>
        <v>0.8140550000000001</v>
      </c>
      <c r="F48" s="79"/>
      <c r="G48" s="79"/>
      <c r="H48" s="1" t="s">
        <v>742</v>
      </c>
      <c r="I48" s="33" t="s">
        <v>743</v>
      </c>
      <c r="J48" s="1">
        <v>0.47</v>
      </c>
      <c r="K48" s="17">
        <f>J48*(1+K$3)</f>
        <v>0.5914104000000001</v>
      </c>
      <c r="L48" s="18">
        <f>ROUND(K48*(1+L$3),4)</f>
        <v>0.5914</v>
      </c>
      <c r="M48" s="1">
        <v>0.3905</v>
      </c>
      <c r="O48" s="87">
        <f>J48*(1+O$3)</f>
        <v>0.5280450000000001</v>
      </c>
    </row>
    <row r="49" spans="2:7" ht="12.75" customHeight="1">
      <c r="B49" s="84"/>
      <c r="F49" s="79"/>
      <c r="G49" s="79"/>
    </row>
    <row r="50" spans="1:15" ht="12.75" customHeight="1">
      <c r="A50" s="1" t="s">
        <v>744</v>
      </c>
      <c r="B50" s="84"/>
      <c r="F50" s="79"/>
      <c r="G50" s="79"/>
      <c r="I50" s="1" t="s">
        <v>745</v>
      </c>
      <c r="J50" s="1">
        <v>0.42</v>
      </c>
      <c r="K50" s="17">
        <f>J50*(1+K$3)</f>
        <v>0.5284944000000001</v>
      </c>
      <c r="L50" s="18">
        <f>ROUND(K50*(1+L$3),4)</f>
        <v>0.5285</v>
      </c>
      <c r="O50" s="87">
        <f>J50*(1+O$3)</f>
        <v>0.47187000000000007</v>
      </c>
    </row>
    <row r="51" spans="2:7" ht="12.75" customHeight="1">
      <c r="B51" s="84"/>
      <c r="F51" s="79"/>
      <c r="G51" s="79"/>
    </row>
    <row r="52" spans="1:7" ht="12.75" customHeight="1">
      <c r="A52" s="1" t="s">
        <v>746</v>
      </c>
      <c r="B52" s="84"/>
      <c r="F52" s="79"/>
      <c r="G52" s="79"/>
    </row>
    <row r="53" spans="2:7" ht="12.75" customHeight="1">
      <c r="B53" s="84"/>
      <c r="F53" s="79"/>
      <c r="G53" s="79"/>
    </row>
    <row r="54" spans="1:7" ht="12.75" customHeight="1">
      <c r="A54" s="1" t="s">
        <v>747</v>
      </c>
      <c r="B54" s="84"/>
      <c r="F54" s="79"/>
      <c r="G54" s="79"/>
    </row>
    <row r="55" spans="2:7" ht="12.75" customHeight="1">
      <c r="B55" s="84"/>
      <c r="F55" s="79"/>
      <c r="G55" s="79"/>
    </row>
    <row r="56" spans="1:7" ht="12.75" customHeight="1">
      <c r="A56" s="1" t="s">
        <v>748</v>
      </c>
      <c r="B56" s="84"/>
      <c r="F56" s="79"/>
      <c r="G56" s="79"/>
    </row>
    <row r="57" spans="2:7" ht="12.75" customHeight="1">
      <c r="B57" s="84"/>
      <c r="F57" s="79"/>
      <c r="G57" s="79"/>
    </row>
    <row r="58" spans="1:7" ht="12.75" customHeight="1">
      <c r="A58" s="1" t="s">
        <v>749</v>
      </c>
      <c r="B58" s="84"/>
      <c r="F58" s="79"/>
      <c r="G58" s="79"/>
    </row>
    <row r="59" spans="2:7" ht="12.75" customHeight="1">
      <c r="B59" s="84"/>
      <c r="F59" s="79"/>
      <c r="G59" s="79"/>
    </row>
    <row r="60" spans="1:15" ht="12.75" customHeight="1">
      <c r="A60" s="1" t="s">
        <v>750</v>
      </c>
      <c r="B60" s="84"/>
      <c r="F60" s="79"/>
      <c r="G60" s="79"/>
      <c r="I60" s="1" t="s">
        <v>751</v>
      </c>
      <c r="J60" s="1">
        <v>0.42</v>
      </c>
      <c r="K60" s="17">
        <f>J60*(1+K$3)</f>
        <v>0.5284944000000001</v>
      </c>
      <c r="L60" s="18">
        <f>ROUND(K60*(1+L$3),4)</f>
        <v>0.5285</v>
      </c>
      <c r="O60" s="87">
        <f>J60*(1+O$3)</f>
        <v>0.47187000000000007</v>
      </c>
    </row>
    <row r="61" spans="2:7" ht="12.75" customHeight="1">
      <c r="B61" s="84"/>
      <c r="C61" s="31">
        <v>0.512</v>
      </c>
      <c r="D61" s="17">
        <f>C61*(1+(D$3*D$4))</f>
        <v>0.4864</v>
      </c>
      <c r="F61" s="79"/>
      <c r="G61" s="79"/>
    </row>
    <row r="62" spans="1:15" ht="14.25" customHeight="1">
      <c r="A62" s="1" t="s">
        <v>752</v>
      </c>
      <c r="B62" s="84">
        <v>0.512</v>
      </c>
      <c r="C62" s="31">
        <f>B62*(1+C$3)</f>
        <v>0.5632</v>
      </c>
      <c r="D62" s="17">
        <f>C62*(1+(D$3*D$4))</f>
        <v>0.53504</v>
      </c>
      <c r="F62" s="79"/>
      <c r="G62" s="79"/>
      <c r="H62" s="1" t="s">
        <v>752</v>
      </c>
      <c r="I62" s="33" t="s">
        <v>753</v>
      </c>
      <c r="J62" s="1">
        <v>0.44</v>
      </c>
      <c r="K62" s="17">
        <f>J62*(1+K$3)</f>
        <v>0.5536608000000002</v>
      </c>
      <c r="L62" s="18">
        <f>ROUND(K62*(1+L$3),4)</f>
        <v>0.5537</v>
      </c>
      <c r="M62" s="1">
        <v>0.3608</v>
      </c>
      <c r="O62" s="87">
        <f>J62*(1+O$3)</f>
        <v>0.49434000000000006</v>
      </c>
    </row>
    <row r="63" spans="2:12" ht="14.25" customHeight="1">
      <c r="B63" s="84"/>
      <c r="C63" s="17"/>
      <c r="D63" s="17"/>
      <c r="F63" s="79"/>
      <c r="G63" s="79"/>
      <c r="I63" s="33"/>
      <c r="K63" s="17"/>
      <c r="L63" s="17"/>
    </row>
    <row r="64" spans="1:12" ht="14.25" customHeight="1">
      <c r="A64" s="1" t="s">
        <v>754</v>
      </c>
      <c r="B64" s="84"/>
      <c r="C64" s="17"/>
      <c r="D64" s="17"/>
      <c r="E64" s="1">
        <v>1.189</v>
      </c>
      <c r="F64" s="79"/>
      <c r="G64" s="79"/>
      <c r="I64" s="33"/>
      <c r="K64" s="17"/>
      <c r="L64" s="17"/>
    </row>
    <row r="65" spans="2:7" ht="12.75" customHeight="1">
      <c r="B65" s="84"/>
      <c r="F65" s="79"/>
      <c r="G65" s="79"/>
    </row>
    <row r="66" spans="1:15" ht="14.25" customHeight="1">
      <c r="A66" s="1" t="s">
        <v>755</v>
      </c>
      <c r="B66" s="84">
        <v>1.07</v>
      </c>
      <c r="C66" s="31">
        <f>B66*(1+C$3)</f>
        <v>1.1770000000000003</v>
      </c>
      <c r="D66" s="17">
        <f>C66*(1+(D$3*D$4))</f>
        <v>1.1181500000000002</v>
      </c>
      <c r="F66" s="79"/>
      <c r="G66" s="79"/>
      <c r="H66" s="1" t="s">
        <v>755</v>
      </c>
      <c r="I66" s="89" t="s">
        <v>756</v>
      </c>
      <c r="J66" s="1">
        <v>0.81</v>
      </c>
      <c r="K66" s="17">
        <f>J66*(1+K$3)</f>
        <v>1.0192392000000003</v>
      </c>
      <c r="L66" s="18">
        <f>ROUND(K66*(1+L$3),4)</f>
        <v>1.0192</v>
      </c>
      <c r="M66" s="1">
        <v>0.6699</v>
      </c>
      <c r="O66" s="87">
        <f>J66*(1+O$3)</f>
        <v>0.9100350000000001</v>
      </c>
    </row>
    <row r="67" spans="2:7" ht="12.75" customHeight="1">
      <c r="B67" s="84"/>
      <c r="F67" s="79"/>
      <c r="G67" s="79"/>
    </row>
    <row r="68" spans="1:8" ht="14.25" customHeight="1">
      <c r="A68" s="1" t="s">
        <v>757</v>
      </c>
      <c r="B68" s="84">
        <v>1.752</v>
      </c>
      <c r="C68" s="31">
        <f>B68*(1+C$3)</f>
        <v>1.9272000000000002</v>
      </c>
      <c r="D68" s="17">
        <f>C68*(1+(D$3*D$4))</f>
        <v>1.8308400000000002</v>
      </c>
      <c r="F68" s="79"/>
      <c r="G68" s="79"/>
      <c r="H68" s="1" t="s">
        <v>757</v>
      </c>
    </row>
    <row r="69" spans="2:7" ht="12.75" customHeight="1">
      <c r="B69" s="84"/>
      <c r="F69" s="79"/>
      <c r="G69" s="79"/>
    </row>
    <row r="70" spans="1:15" ht="14.25" customHeight="1">
      <c r="A70" s="1" t="s">
        <v>758</v>
      </c>
      <c r="B70" s="84">
        <v>2.345</v>
      </c>
      <c r="C70" s="31">
        <f>B70*(1+C$3)</f>
        <v>2.5795000000000003</v>
      </c>
      <c r="D70" s="17">
        <f>C70*(1+(D$3*D$4))</f>
        <v>2.4505250000000003</v>
      </c>
      <c r="F70" s="79"/>
      <c r="G70" s="79"/>
      <c r="H70" s="1" t="s">
        <v>758</v>
      </c>
      <c r="I70" s="33" t="s">
        <v>759</v>
      </c>
      <c r="J70" s="1">
        <v>1.16</v>
      </c>
      <c r="K70" s="17">
        <f>J70*(1+K$3)</f>
        <v>1.4596512000000004</v>
      </c>
      <c r="L70" s="18">
        <f>ROUND(K70*(1+L$3),4)</f>
        <v>1.4597</v>
      </c>
      <c r="M70" s="1">
        <v>0.9614</v>
      </c>
      <c r="O70" s="87">
        <f>J70*(1+O$3)</f>
        <v>1.30326</v>
      </c>
    </row>
    <row r="71" spans="2:7" ht="12" customHeight="1">
      <c r="B71" s="84"/>
      <c r="F71" s="79"/>
      <c r="G71" s="79"/>
    </row>
    <row r="72" spans="1:7" ht="12" customHeight="1">
      <c r="A72" s="1" t="s">
        <v>760</v>
      </c>
      <c r="B72" s="84"/>
      <c r="E72" s="1">
        <v>1.189</v>
      </c>
      <c r="F72" s="79"/>
      <c r="G72" s="79"/>
    </row>
    <row r="73" spans="2:7" ht="12" customHeight="1">
      <c r="B73" s="84"/>
      <c r="F73" s="79"/>
      <c r="G73" s="79"/>
    </row>
    <row r="74" spans="1:15" ht="14.25" customHeight="1">
      <c r="A74" s="1" t="s">
        <v>761</v>
      </c>
      <c r="B74" s="84">
        <v>0.899</v>
      </c>
      <c r="C74" s="31">
        <f>B74*(1+C$3)</f>
        <v>0.9889000000000001</v>
      </c>
      <c r="D74" s="17">
        <f>C74*(1+(D$3*D$4))</f>
        <v>0.939455</v>
      </c>
      <c r="F74" s="79"/>
      <c r="G74" s="79"/>
      <c r="H74" s="1" t="s">
        <v>761</v>
      </c>
      <c r="I74" s="33" t="s">
        <v>762</v>
      </c>
      <c r="J74" s="1">
        <v>0.56</v>
      </c>
      <c r="K74" s="17">
        <f>J74*(1+K$3)</f>
        <v>0.7046592000000003</v>
      </c>
      <c r="L74" s="18">
        <f>ROUND(K74*(1+L$3),4)</f>
        <v>0.7047</v>
      </c>
      <c r="M74" s="1">
        <v>0.45980000000000004</v>
      </c>
      <c r="O74" s="87">
        <f>J74*(1+O$3)</f>
        <v>0.6291600000000002</v>
      </c>
    </row>
    <row r="75" spans="2:7" ht="12.75" customHeight="1">
      <c r="B75" s="84"/>
      <c r="F75" s="79"/>
      <c r="G75" s="79"/>
    </row>
    <row r="76" spans="1:15" ht="14.25" customHeight="1">
      <c r="A76" s="1" t="s">
        <v>763</v>
      </c>
      <c r="B76" s="84">
        <v>0.767</v>
      </c>
      <c r="C76" s="31">
        <f>B76*(1+C$3)</f>
        <v>0.8437000000000001</v>
      </c>
      <c r="D76" s="17">
        <f>C76*(1+(D$3*D$4))</f>
        <v>0.8015150000000001</v>
      </c>
      <c r="F76" s="79"/>
      <c r="G76" s="79"/>
      <c r="H76" s="1" t="s">
        <v>763</v>
      </c>
      <c r="I76" s="1" t="s">
        <v>764</v>
      </c>
      <c r="J76" s="1">
        <v>0.7</v>
      </c>
      <c r="K76" s="17">
        <f>J76*(1+K$3)</f>
        <v>0.8808240000000002</v>
      </c>
      <c r="L76" s="18">
        <f>ROUND(K76*(1+L$3),4)</f>
        <v>0.8808</v>
      </c>
      <c r="M76" s="1">
        <v>0.5720000000000001</v>
      </c>
      <c r="O76" s="87">
        <f>J76*(1+O$3)</f>
        <v>0.7864500000000001</v>
      </c>
    </row>
    <row r="77" spans="2:15" ht="12.75" customHeight="1">
      <c r="B77" s="84"/>
      <c r="F77" s="79"/>
      <c r="G77" s="79"/>
      <c r="I77" s="1" t="s">
        <v>765</v>
      </c>
      <c r="J77" s="1">
        <v>0.69</v>
      </c>
      <c r="K77" s="17">
        <f>J77*(1+K$3)</f>
        <v>0.8682408000000001</v>
      </c>
      <c r="L77" s="18">
        <f>ROUND(K77*(1+L$3),4)</f>
        <v>0.8682</v>
      </c>
      <c r="O77" s="87">
        <f>J77*(1+O$3)</f>
        <v>0.7752150000000001</v>
      </c>
    </row>
    <row r="78" spans="1:15" ht="14.25" customHeight="1">
      <c r="A78" s="1" t="s">
        <v>766</v>
      </c>
      <c r="B78" s="84">
        <v>1.326</v>
      </c>
      <c r="C78" s="31">
        <f>B78*(1+C$3)</f>
        <v>1.4586000000000001</v>
      </c>
      <c r="D78" s="17">
        <f>C78*(1+(D$3*D$4))</f>
        <v>1.38567</v>
      </c>
      <c r="F78" s="79"/>
      <c r="G78" s="79"/>
      <c r="H78" s="1" t="s">
        <v>766</v>
      </c>
      <c r="I78" s="21"/>
      <c r="J78" s="1">
        <v>0</v>
      </c>
      <c r="K78" s="17">
        <f>J78*(1+K$3)</f>
        <v>0</v>
      </c>
      <c r="L78" s="18">
        <f>ROUND(K78*(1+L$3),4)</f>
        <v>0</v>
      </c>
      <c r="M78" s="1">
        <v>0.5720000000000001</v>
      </c>
      <c r="O78" s="87">
        <f>J78*(1+O$3)</f>
        <v>0</v>
      </c>
    </row>
    <row r="79" spans="2:7" ht="12.75" customHeight="1">
      <c r="B79" s="84"/>
      <c r="F79" s="79"/>
      <c r="G79" s="79"/>
    </row>
    <row r="80" spans="1:8" ht="14.25" customHeight="1">
      <c r="A80" s="1" t="s">
        <v>767</v>
      </c>
      <c r="B80" s="84">
        <v>2.009</v>
      </c>
      <c r="C80" s="31">
        <f>B80*(1+C$3)</f>
        <v>2.2099</v>
      </c>
      <c r="D80" s="17">
        <f>C80*(1+(D$3*D$4))</f>
        <v>2.099405</v>
      </c>
      <c r="F80" s="79"/>
      <c r="G80" s="79"/>
      <c r="H80" s="1" t="s">
        <v>767</v>
      </c>
    </row>
    <row r="81" spans="2:7" ht="12.75" customHeight="1">
      <c r="B81" s="84"/>
      <c r="F81" s="79"/>
      <c r="G81" s="79"/>
    </row>
    <row r="82" spans="1:15" ht="14.25" customHeight="1">
      <c r="A82" s="1" t="s">
        <v>768</v>
      </c>
      <c r="B82" s="84">
        <v>2.6</v>
      </c>
      <c r="C82" s="31">
        <f>B82*(1+C$3)</f>
        <v>2.8600000000000003</v>
      </c>
      <c r="D82" s="17">
        <f>C82*(1+(D$3*D$4))</f>
        <v>2.717</v>
      </c>
      <c r="F82" s="79"/>
      <c r="G82" s="79"/>
      <c r="H82" s="1" t="s">
        <v>768</v>
      </c>
      <c r="I82" s="89" t="s">
        <v>769</v>
      </c>
      <c r="J82" s="1">
        <v>1.34</v>
      </c>
      <c r="K82" s="17">
        <f>J82*(1+K$3)</f>
        <v>1.6861488000000004</v>
      </c>
      <c r="L82" s="18">
        <f>ROUND(K82*(1+L$3),4)</f>
        <v>1.6861</v>
      </c>
      <c r="M82" s="1">
        <v>1.1099</v>
      </c>
      <c r="O82" s="87">
        <f>J82*(1+O$3)</f>
        <v>1.5054900000000002</v>
      </c>
    </row>
    <row r="83" spans="2:7" ht="12.75" customHeight="1">
      <c r="B83" s="84"/>
      <c r="F83" s="79"/>
      <c r="G83" s="79"/>
    </row>
    <row r="84" spans="1:15" ht="14.25" customHeight="1">
      <c r="A84" s="1" t="s">
        <v>770</v>
      </c>
      <c r="B84" s="84">
        <v>1.687</v>
      </c>
      <c r="C84" s="31">
        <f>B84*(1+C$3)</f>
        <v>1.8557000000000001</v>
      </c>
      <c r="D84" s="17">
        <f>C84*(1+(D$3*D$4))</f>
        <v>1.762915</v>
      </c>
      <c r="F84" s="79"/>
      <c r="G84" s="79"/>
      <c r="H84" s="1" t="s">
        <v>770</v>
      </c>
      <c r="I84" s="33" t="s">
        <v>771</v>
      </c>
      <c r="J84" s="1">
        <v>0.7</v>
      </c>
      <c r="K84" s="17">
        <f>J84*(1+K$3)</f>
        <v>0.8808240000000002</v>
      </c>
      <c r="L84" s="18">
        <f>ROUND(K84*(1+L$3),4)</f>
        <v>0.8808</v>
      </c>
      <c r="M84" s="1">
        <v>0.5764</v>
      </c>
      <c r="O84" s="87">
        <f>J84*(1+O$3)</f>
        <v>0.7864500000000001</v>
      </c>
    </row>
    <row r="85" spans="2:7" ht="12.75" customHeight="1">
      <c r="B85" s="84"/>
      <c r="F85" s="79"/>
      <c r="G85" s="79"/>
    </row>
    <row r="86" spans="1:7" ht="14.25" customHeight="1">
      <c r="A86" s="1" t="s">
        <v>772</v>
      </c>
      <c r="B86" s="84">
        <v>1.912</v>
      </c>
      <c r="C86" s="31">
        <f>B86*(1+C$3)</f>
        <v>2.1032</v>
      </c>
      <c r="D86" s="17">
        <f>C86*(1+(D$3*D$4))</f>
        <v>1.99804</v>
      </c>
      <c r="F86" s="79"/>
      <c r="G86" s="79"/>
    </row>
    <row r="87" spans="2:7" ht="12.75" customHeight="1">
      <c r="B87" s="84"/>
      <c r="F87" s="79"/>
      <c r="G87" s="79"/>
    </row>
    <row r="88" spans="1:15" ht="14.25" customHeight="1">
      <c r="A88" s="1" t="s">
        <v>773</v>
      </c>
      <c r="B88" s="84">
        <v>0.767</v>
      </c>
      <c r="C88" s="31">
        <f>B88*(1+C$3)</f>
        <v>0.8437000000000001</v>
      </c>
      <c r="D88" s="17">
        <f>C88*(1+(D$3*D$4))</f>
        <v>0.8015150000000001</v>
      </c>
      <c r="F88" s="79"/>
      <c r="G88" s="79"/>
      <c r="H88" s="1" t="s">
        <v>773</v>
      </c>
      <c r="I88" s="33" t="s">
        <v>774</v>
      </c>
      <c r="J88" s="1">
        <v>0.7</v>
      </c>
      <c r="K88" s="17">
        <f>J88*(1+K$3)</f>
        <v>0.8808240000000002</v>
      </c>
      <c r="L88" s="18">
        <f>ROUND(K88*(1+L$3),4)</f>
        <v>0.8808</v>
      </c>
      <c r="M88" s="1">
        <v>0.5764</v>
      </c>
      <c r="O88" s="87">
        <f>J88*(1+O$3)</f>
        <v>0.7864500000000001</v>
      </c>
    </row>
    <row r="89" spans="2:7" ht="12.75" customHeight="1">
      <c r="B89" s="84"/>
      <c r="F89" s="79"/>
      <c r="G89" s="79"/>
    </row>
    <row r="90" spans="1:7" ht="12.75" customHeight="1">
      <c r="A90" s="1" t="s">
        <v>775</v>
      </c>
      <c r="B90" s="84">
        <v>1.125</v>
      </c>
      <c r="C90" s="31">
        <f>B90*(1+C$3)</f>
        <v>1.2375</v>
      </c>
      <c r="D90" s="17">
        <f>C90*(1+(D$3*D$4))</f>
        <v>1.175625</v>
      </c>
      <c r="F90" s="79"/>
      <c r="G90" s="79"/>
    </row>
    <row r="91" spans="2:7" ht="12.75" customHeight="1">
      <c r="B91" s="84"/>
      <c r="F91" s="79"/>
      <c r="G91" s="79"/>
    </row>
    <row r="92" spans="1:7" ht="12.75" customHeight="1">
      <c r="A92" s="1" t="s">
        <v>776</v>
      </c>
      <c r="B92" s="84">
        <v>1.125</v>
      </c>
      <c r="C92" s="31">
        <f>B92*(1+C$3)</f>
        <v>1.2375</v>
      </c>
      <c r="D92" s="17">
        <f>C92*(1+(D$3*D$4))</f>
        <v>1.175625</v>
      </c>
      <c r="F92" s="79"/>
      <c r="G92" s="79"/>
    </row>
    <row r="93" spans="2:7" ht="12.75" customHeight="1">
      <c r="B93" s="84"/>
      <c r="F93" s="79"/>
      <c r="G93" s="79"/>
    </row>
    <row r="94" spans="1:7" ht="14.25" customHeight="1">
      <c r="A94" s="1" t="s">
        <v>777</v>
      </c>
      <c r="B94" s="84">
        <v>4.892</v>
      </c>
      <c r="C94" s="31">
        <f>B94*(1+C$3)</f>
        <v>5.381200000000001</v>
      </c>
      <c r="D94" s="17">
        <f>C94*(1+(D$3*D$4))</f>
        <v>5.11214</v>
      </c>
      <c r="F94" s="79"/>
      <c r="G94" s="79"/>
    </row>
    <row r="95" spans="2:7" ht="12.75" customHeight="1">
      <c r="B95" s="84"/>
      <c r="F95" s="79"/>
      <c r="G95" s="79"/>
    </row>
    <row r="96" spans="1:8" ht="14.25" customHeight="1">
      <c r="A96" s="1" t="s">
        <v>778</v>
      </c>
      <c r="B96" s="84">
        <v>5.261</v>
      </c>
      <c r="C96" s="31">
        <f>B96*(1+C$3)</f>
        <v>5.787100000000001</v>
      </c>
      <c r="D96" s="17">
        <f>C96*(1+(D$3*D$4))</f>
        <v>5.497745</v>
      </c>
      <c r="F96" s="79"/>
      <c r="G96" s="79"/>
      <c r="H96" s="1" t="s">
        <v>779</v>
      </c>
    </row>
    <row r="97" spans="2:7" ht="12.75" customHeight="1">
      <c r="B97" s="84"/>
      <c r="C97" s="17"/>
      <c r="D97" s="17"/>
      <c r="F97" s="79"/>
      <c r="G97" s="79"/>
    </row>
    <row r="98" spans="1:15" ht="14.25" customHeight="1">
      <c r="A98" s="1" t="s">
        <v>780</v>
      </c>
      <c r="B98" s="84">
        <v>12.267</v>
      </c>
      <c r="C98" s="31">
        <f>B98*(1+C$3)</f>
        <v>13.4937</v>
      </c>
      <c r="D98" s="17">
        <f>C98*(1+(D$3*D$4))</f>
        <v>12.819015</v>
      </c>
      <c r="F98" s="79"/>
      <c r="G98" s="79"/>
      <c r="H98" s="1" t="s">
        <v>781</v>
      </c>
      <c r="I98" s="1" t="s">
        <v>782</v>
      </c>
      <c r="K98" s="17">
        <v>0.73</v>
      </c>
      <c r="L98" s="18">
        <f>ROUND(K98*(1+L$3),4)</f>
        <v>0.73</v>
      </c>
      <c r="M98" s="17">
        <f>L98*2</f>
        <v>1.46</v>
      </c>
      <c r="O98" s="87">
        <f>J98*(1+O$3)</f>
        <v>0</v>
      </c>
    </row>
    <row r="99" spans="2:15" ht="14.25" customHeight="1">
      <c r="B99" s="84"/>
      <c r="C99" s="31"/>
      <c r="D99" s="17"/>
      <c r="F99" s="79"/>
      <c r="G99" s="79"/>
      <c r="I99" s="1" t="s">
        <v>783</v>
      </c>
      <c r="K99" s="17">
        <v>2.1</v>
      </c>
      <c r="L99" s="18">
        <f>ROUND(K99*(1+L$3),4)</f>
        <v>2.1</v>
      </c>
      <c r="M99" s="17">
        <f>M98+L99</f>
        <v>3.56</v>
      </c>
      <c r="O99" s="87">
        <f>J99*(1+O$3)</f>
        <v>0</v>
      </c>
    </row>
    <row r="100" spans="2:15" ht="12.75" customHeight="1">
      <c r="B100" s="84"/>
      <c r="F100" s="79"/>
      <c r="G100" s="79"/>
      <c r="I100" s="1" t="s">
        <v>784</v>
      </c>
      <c r="K100" s="17">
        <v>3.7</v>
      </c>
      <c r="L100" s="18">
        <f>ROUND(K100*(1+L$3),4)</f>
        <v>3.7</v>
      </c>
      <c r="M100" s="17">
        <f>M98+M99+L100</f>
        <v>8.719999999999999</v>
      </c>
      <c r="O100" s="87">
        <f>J100*(1+O$3)</f>
        <v>0</v>
      </c>
    </row>
    <row r="101" spans="2:7" ht="12.75" customHeight="1">
      <c r="B101" s="84"/>
      <c r="F101" s="79"/>
      <c r="G101" s="79"/>
    </row>
    <row r="102" spans="1:8" ht="14.25" customHeight="1">
      <c r="A102" s="1" t="s">
        <v>785</v>
      </c>
      <c r="B102" s="84">
        <v>8.036</v>
      </c>
      <c r="C102" s="31">
        <f>B102*(1+C$3)</f>
        <v>8.8396</v>
      </c>
      <c r="D102" s="17">
        <f>C102*(1+(D$3*D$4))</f>
        <v>8.39762</v>
      </c>
      <c r="F102" s="79"/>
      <c r="G102" s="79"/>
      <c r="H102" s="1" t="s">
        <v>786</v>
      </c>
    </row>
    <row r="103" spans="2:7" ht="12.75" customHeight="1">
      <c r="B103" s="84"/>
      <c r="F103" s="79"/>
      <c r="G103" s="79"/>
    </row>
    <row r="104" spans="1:8" ht="14.25" customHeight="1">
      <c r="A104" s="1" t="s">
        <v>787</v>
      </c>
      <c r="B104" s="84">
        <v>15.455</v>
      </c>
      <c r="C104" s="31">
        <f>B104*(1+C$3)</f>
        <v>17.000500000000002</v>
      </c>
      <c r="D104" s="17">
        <f>C104*(1+(D$3*D$4))</f>
        <v>16.150475</v>
      </c>
      <c r="F104" s="79"/>
      <c r="G104" s="79"/>
      <c r="H104" s="1" t="s">
        <v>788</v>
      </c>
    </row>
    <row r="105" spans="2:7" ht="12.75" customHeight="1">
      <c r="B105" s="84"/>
      <c r="F105" s="79"/>
      <c r="G105" s="79"/>
    </row>
    <row r="106" spans="1:8" ht="14.25" customHeight="1">
      <c r="A106" s="1" t="s">
        <v>789</v>
      </c>
      <c r="B106" s="84">
        <v>18.805</v>
      </c>
      <c r="C106" s="31">
        <f>B106*(1+C$3)</f>
        <v>20.6855</v>
      </c>
      <c r="D106" s="17">
        <f>C106*(1+(D$3*D$4))</f>
        <v>19.651225</v>
      </c>
      <c r="F106" s="79"/>
      <c r="G106" s="79"/>
      <c r="H106" s="1" t="s">
        <v>790</v>
      </c>
    </row>
    <row r="107" spans="2:7" ht="12.75" customHeight="1">
      <c r="B107" s="84"/>
      <c r="F107" s="79"/>
      <c r="G107" s="79"/>
    </row>
    <row r="108" spans="1:8" ht="14.25" customHeight="1">
      <c r="A108" s="1" t="s">
        <v>791</v>
      </c>
      <c r="B108" s="84">
        <v>7.22</v>
      </c>
      <c r="C108" s="31">
        <f>B108*(1+C$3)</f>
        <v>7.942</v>
      </c>
      <c r="D108" s="17">
        <f>C108*(1+(D$3*D$4))</f>
        <v>7.5449</v>
      </c>
      <c r="F108" s="79"/>
      <c r="G108" s="79"/>
      <c r="H108" s="1" t="s">
        <v>792</v>
      </c>
    </row>
    <row r="109" spans="2:7" ht="12.75" customHeight="1">
      <c r="B109" s="84"/>
      <c r="F109" s="79"/>
      <c r="G109" s="79"/>
    </row>
    <row r="110" spans="1:7" ht="14.25" customHeight="1">
      <c r="A110" s="1" t="s">
        <v>793</v>
      </c>
      <c r="B110" s="84">
        <v>7.022</v>
      </c>
      <c r="C110" s="31">
        <f>B110*(1+C$3)</f>
        <v>7.724200000000001</v>
      </c>
      <c r="D110" s="17">
        <f>C110*(1+(D$3*D$4))</f>
        <v>7.3379900000000005</v>
      </c>
      <c r="F110" s="79"/>
      <c r="G110" s="79"/>
    </row>
    <row r="111" spans="2:7" ht="12.75" customHeight="1">
      <c r="B111" s="84"/>
      <c r="C111" s="17"/>
      <c r="D111" s="17"/>
      <c r="F111" s="79"/>
      <c r="G111" s="79"/>
    </row>
    <row r="112" spans="1:7" ht="14.25" customHeight="1">
      <c r="A112" s="1" t="s">
        <v>794</v>
      </c>
      <c r="B112" s="84">
        <v>5.641</v>
      </c>
      <c r="C112" s="31">
        <f>B112*(1+C$3)</f>
        <v>6.205100000000001</v>
      </c>
      <c r="D112" s="17">
        <f>C112*(1+(D$3*D$4))</f>
        <v>5.894845</v>
      </c>
      <c r="F112" s="79"/>
      <c r="G112" s="79"/>
    </row>
    <row r="113" spans="2:7" ht="12.75" customHeight="1">
      <c r="B113" s="84"/>
      <c r="F113" s="79"/>
      <c r="G113" s="79"/>
    </row>
    <row r="114" spans="1:7" ht="14.25" customHeight="1">
      <c r="A114" s="1" t="s">
        <v>795</v>
      </c>
      <c r="B114" s="84">
        <v>5.641</v>
      </c>
      <c r="C114" s="31">
        <f>B114*(1+C$3)</f>
        <v>6.205100000000001</v>
      </c>
      <c r="D114" s="17">
        <f>C114*(1+(D$3*D$4))</f>
        <v>5.894845</v>
      </c>
      <c r="F114" s="79"/>
      <c r="G114" s="79"/>
    </row>
    <row r="115" spans="2:7" ht="12.75" customHeight="1">
      <c r="B115" s="84"/>
      <c r="F115" s="79"/>
      <c r="G115" s="79"/>
    </row>
    <row r="116" spans="1:7" ht="14.25" customHeight="1">
      <c r="A116" s="1" t="s">
        <v>796</v>
      </c>
      <c r="B116" s="84">
        <v>8.644</v>
      </c>
      <c r="C116" s="31">
        <f>B116*(1+C$3)</f>
        <v>9.508400000000002</v>
      </c>
      <c r="D116" s="17">
        <f>C116*(1+(D$3*D$4))</f>
        <v>9.032980000000002</v>
      </c>
      <c r="F116" s="79"/>
      <c r="G116" s="79"/>
    </row>
    <row r="117" spans="2:7" ht="12.75" customHeight="1">
      <c r="B117" s="84"/>
      <c r="F117" s="79"/>
      <c r="G117" s="79"/>
    </row>
    <row r="118" spans="1:7" ht="14.25" customHeight="1">
      <c r="A118" s="1" t="s">
        <v>797</v>
      </c>
      <c r="B118" s="84">
        <v>2.956</v>
      </c>
      <c r="C118" s="31">
        <f>B118*(1+C$3)</f>
        <v>3.2516000000000003</v>
      </c>
      <c r="D118" s="17">
        <f>C118*(1+(D$3*D$4))</f>
        <v>3.08902</v>
      </c>
      <c r="F118" s="79"/>
      <c r="G118" s="79"/>
    </row>
    <row r="119" spans="2:7" ht="12.75" customHeight="1">
      <c r="B119" s="84"/>
      <c r="F119" s="79"/>
      <c r="G119" s="79"/>
    </row>
    <row r="120" spans="1:7" ht="14.25" customHeight="1">
      <c r="A120" s="1" t="s">
        <v>798</v>
      </c>
      <c r="B120" s="84">
        <v>3.752</v>
      </c>
      <c r="C120" s="31">
        <f>B120*(1+C$3)</f>
        <v>4.1272</v>
      </c>
      <c r="D120" s="17">
        <f>C120*(1+(D$3*D$4))</f>
        <v>3.92084</v>
      </c>
      <c r="F120" s="79"/>
      <c r="G120" s="79"/>
    </row>
    <row r="121" spans="2:7" ht="12.75" customHeight="1">
      <c r="B121" s="84"/>
      <c r="F121" s="79"/>
      <c r="G121" s="79"/>
    </row>
    <row r="122" spans="1:7" ht="14.25" customHeight="1">
      <c r="A122" s="1" t="s">
        <v>799</v>
      </c>
      <c r="B122" s="84">
        <v>1.964</v>
      </c>
      <c r="C122" s="31">
        <f>B122*(1+C$3)</f>
        <v>2.1604</v>
      </c>
      <c r="D122" s="17">
        <f>C122*(1+(D$3*D$4))</f>
        <v>2.05238</v>
      </c>
      <c r="F122" s="79"/>
      <c r="G122" s="79"/>
    </row>
    <row r="123" spans="2:7" ht="12.75" customHeight="1">
      <c r="B123" s="84"/>
      <c r="F123" s="79"/>
      <c r="G123" s="79"/>
    </row>
    <row r="124" spans="1:7" ht="14.25" customHeight="1">
      <c r="A124" s="1" t="s">
        <v>800</v>
      </c>
      <c r="B124" s="84">
        <v>3.997</v>
      </c>
      <c r="C124" s="31">
        <f>B124*(1+C$3)</f>
        <v>4.3967</v>
      </c>
      <c r="D124" s="17">
        <f>C124*(1+(D$3*D$4))</f>
        <v>4.176865</v>
      </c>
      <c r="F124" s="79"/>
      <c r="G124" s="79"/>
    </row>
    <row r="125" spans="2:7" ht="12.75" customHeight="1">
      <c r="B125" s="84"/>
      <c r="F125" s="79"/>
      <c r="G125" s="79"/>
    </row>
    <row r="126" spans="1:7" ht="12.75" customHeight="1">
      <c r="A126" s="1" t="s">
        <v>801</v>
      </c>
      <c r="B126" s="84">
        <v>2.391</v>
      </c>
      <c r="C126" s="31">
        <f>B126*(1+C$3)</f>
        <v>2.6301</v>
      </c>
      <c r="D126" s="17">
        <f>C126*(1+(D$3*D$4))</f>
        <v>2.498595</v>
      </c>
      <c r="F126" s="79"/>
      <c r="G126" s="79"/>
    </row>
    <row r="127" spans="2:7" ht="12.75" customHeight="1">
      <c r="B127" s="84"/>
      <c r="F127" s="79"/>
      <c r="G127" s="79"/>
    </row>
    <row r="128" spans="1:8" ht="14.25" customHeight="1">
      <c r="A128" s="1" t="s">
        <v>802</v>
      </c>
      <c r="B128" s="84">
        <v>0</v>
      </c>
      <c r="C128" s="31">
        <f>B128*(1+C$3)</f>
        <v>0</v>
      </c>
      <c r="D128" s="17">
        <f>C128*(1+(D$3*D$4))</f>
        <v>0</v>
      </c>
      <c r="F128" s="79"/>
      <c r="G128" s="79"/>
      <c r="H128" s="1" t="s">
        <v>802</v>
      </c>
    </row>
    <row r="129" spans="2:7" ht="12.75" customHeight="1">
      <c r="B129" s="84"/>
      <c r="F129" s="79"/>
      <c r="G129" s="79"/>
    </row>
    <row r="130" spans="1:8" ht="14.25" customHeight="1">
      <c r="A130" s="1" t="s">
        <v>803</v>
      </c>
      <c r="B130" s="84">
        <v>0</v>
      </c>
      <c r="C130" s="31">
        <f>B130*(1+C$3)</f>
        <v>0</v>
      </c>
      <c r="D130" s="17">
        <f>C130*(1+(D$3*D$4))</f>
        <v>0</v>
      </c>
      <c r="F130" s="79"/>
      <c r="G130" s="79"/>
      <c r="H130" s="1" t="s">
        <v>803</v>
      </c>
    </row>
    <row r="131" spans="2:7" ht="12.75" customHeight="1">
      <c r="B131" s="84"/>
      <c r="F131" s="79"/>
      <c r="G131" s="79"/>
    </row>
    <row r="132" spans="1:15" ht="14.25" customHeight="1">
      <c r="A132" s="1" t="s">
        <v>804</v>
      </c>
      <c r="B132" s="84">
        <v>0.916</v>
      </c>
      <c r="C132" s="31">
        <f>B132*(1+C$3)</f>
        <v>1.0076</v>
      </c>
      <c r="D132" s="17">
        <f>C132*(1+(D$3*D$4))</f>
        <v>0.95722</v>
      </c>
      <c r="F132" s="79"/>
      <c r="G132" s="79"/>
      <c r="H132" s="1" t="s">
        <v>805</v>
      </c>
      <c r="I132" s="1" t="s">
        <v>806</v>
      </c>
      <c r="J132" s="1">
        <v>0.69</v>
      </c>
      <c r="K132" s="17">
        <f>J132*(1+K$3)</f>
        <v>0.8682408000000001</v>
      </c>
      <c r="L132" s="18">
        <f>ROUND(K132*(1+L$3),4)</f>
        <v>0.8682</v>
      </c>
      <c r="M132" s="17">
        <v>0.5731</v>
      </c>
      <c r="O132" s="87">
        <f>J132*(1+O$3)</f>
        <v>0.7752150000000001</v>
      </c>
    </row>
    <row r="133" spans="2:7" ht="12.75" customHeight="1">
      <c r="B133" s="84"/>
      <c r="F133" s="79"/>
      <c r="G133" s="79"/>
    </row>
    <row r="134" spans="1:15" ht="12.75" customHeight="1">
      <c r="A134" s="1" t="s">
        <v>807</v>
      </c>
      <c r="B134" s="84" t="s">
        <v>545</v>
      </c>
      <c r="C134" s="17"/>
      <c r="D134" s="17"/>
      <c r="F134" s="79"/>
      <c r="G134" s="79"/>
      <c r="H134" s="1" t="s">
        <v>808</v>
      </c>
      <c r="I134" s="1" t="s">
        <v>809</v>
      </c>
      <c r="J134" s="1">
        <v>0.69</v>
      </c>
      <c r="K134" s="17">
        <f>J134*(1+K$3)</f>
        <v>0.8682408000000001</v>
      </c>
      <c r="L134" s="18">
        <f>ROUND(K134*(1+L$3),4)</f>
        <v>0.8682</v>
      </c>
      <c r="M134" s="90">
        <v>0.5731</v>
      </c>
      <c r="O134" s="87">
        <f>J134*(1+O$3)</f>
        <v>0.7752150000000001</v>
      </c>
    </row>
    <row r="135" spans="2:12" ht="12.75" customHeight="1">
      <c r="B135" s="84"/>
      <c r="F135" s="79"/>
      <c r="G135" s="79"/>
      <c r="K135" s="17"/>
      <c r="L135" s="17"/>
    </row>
    <row r="136" spans="2:14" ht="12.75" customHeight="1">
      <c r="B136" s="84"/>
      <c r="F136" s="79"/>
      <c r="G136" s="79"/>
      <c r="N136" s="1" t="s">
        <v>413</v>
      </c>
    </row>
    <row r="137" spans="1:15" ht="14.25" customHeight="1">
      <c r="A137" s="1" t="s">
        <v>810</v>
      </c>
      <c r="B137" s="84">
        <v>1.429</v>
      </c>
      <c r="C137" s="31">
        <f>B137*(1+C$3)</f>
        <v>1.5719</v>
      </c>
      <c r="D137" s="17">
        <f>C137*(1+(D$3*D$4))</f>
        <v>1.493305</v>
      </c>
      <c r="F137" s="79"/>
      <c r="G137" s="79"/>
      <c r="H137" s="1" t="s">
        <v>811</v>
      </c>
      <c r="I137" s="88" t="s">
        <v>812</v>
      </c>
      <c r="K137" s="17">
        <f>J137*(1+K$3)</f>
        <v>0</v>
      </c>
      <c r="L137" s="18">
        <f>ROUND(K137*(1+L$3),4)</f>
        <v>0</v>
      </c>
      <c r="M137" s="17">
        <v>0.8217</v>
      </c>
      <c r="N137" s="1">
        <v>1.143</v>
      </c>
      <c r="O137" s="1">
        <f>N137*0.95</f>
        <v>1.08585</v>
      </c>
    </row>
    <row r="138" spans="2:13" ht="12.75" customHeight="1">
      <c r="B138" s="84"/>
      <c r="F138" s="79"/>
      <c r="G138" s="79"/>
      <c r="H138" s="1" t="s">
        <v>810</v>
      </c>
      <c r="M138" s="1">
        <v>0.341</v>
      </c>
    </row>
    <row r="139" spans="2:13" ht="12.75" customHeight="1">
      <c r="B139" s="84"/>
      <c r="F139" s="79"/>
      <c r="G139" s="79"/>
      <c r="H139" s="1" t="s">
        <v>813</v>
      </c>
      <c r="I139" s="1" t="s">
        <v>814</v>
      </c>
      <c r="J139" s="1">
        <v>0.37</v>
      </c>
      <c r="K139" s="17">
        <f>J139*(1+K$3)</f>
        <v>0.4655784000000001</v>
      </c>
      <c r="L139" s="18">
        <f>ROUND(K139*(1+L$3),4)</f>
        <v>0.4656</v>
      </c>
      <c r="M139" s="17"/>
    </row>
    <row r="140" spans="2:7" ht="12.75" customHeight="1">
      <c r="B140" s="84"/>
      <c r="F140" s="79"/>
      <c r="G140" s="79"/>
    </row>
    <row r="141" spans="1:13" ht="14.25" customHeight="1">
      <c r="A141" s="1" t="s">
        <v>815</v>
      </c>
      <c r="B141" s="84"/>
      <c r="C141" s="31">
        <f>B141*(1+C$3)</f>
        <v>0</v>
      </c>
      <c r="D141" s="17">
        <f>C141*(1+(D$3*D$4))</f>
        <v>0</v>
      </c>
      <c r="F141" s="79"/>
      <c r="G141" s="79"/>
      <c r="H141" s="1" t="s">
        <v>815</v>
      </c>
      <c r="I141" s="88" t="s">
        <v>816</v>
      </c>
      <c r="J141" s="1">
        <v>1.49</v>
      </c>
      <c r="K141" s="17">
        <f>J141*(1+K$3)</f>
        <v>1.8748968000000006</v>
      </c>
      <c r="L141" s="18">
        <f>ROUND(K141*(1+L$3),4)</f>
        <v>1.8749</v>
      </c>
      <c r="M141" s="17">
        <v>1.2309</v>
      </c>
    </row>
    <row r="142" spans="2:12" ht="12.75" customHeight="1">
      <c r="B142" s="84"/>
      <c r="F142" s="79"/>
      <c r="G142" s="79"/>
      <c r="H142" s="1" t="s">
        <v>817</v>
      </c>
      <c r="I142" s="1" t="s">
        <v>818</v>
      </c>
      <c r="J142" s="1">
        <v>0.29</v>
      </c>
      <c r="L142" s="18">
        <f>ROUND(K142*(1+L$3),4)</f>
        <v>0</v>
      </c>
    </row>
    <row r="143" spans="1:12" ht="14.25" customHeight="1">
      <c r="A143" s="1" t="s">
        <v>819</v>
      </c>
      <c r="B143" s="84">
        <v>2.767</v>
      </c>
      <c r="C143" s="31">
        <f>B143*(1+C$3)</f>
        <v>3.0437000000000003</v>
      </c>
      <c r="D143" s="17">
        <f>C143*(1+(D$3*D$4))</f>
        <v>2.891515</v>
      </c>
      <c r="F143" s="79"/>
      <c r="G143" s="79"/>
      <c r="H143" s="1" t="s">
        <v>820</v>
      </c>
      <c r="I143" s="1" t="s">
        <v>821</v>
      </c>
      <c r="J143" s="1">
        <v>0.57</v>
      </c>
      <c r="K143" s="38">
        <f>J142*2+J143</f>
        <v>1.15</v>
      </c>
      <c r="L143" s="18">
        <f>ROUND(K143*(1+L$3),4)</f>
        <v>1.15</v>
      </c>
    </row>
    <row r="144" spans="2:12" ht="12.75" customHeight="1">
      <c r="B144" s="84"/>
      <c r="F144" s="79"/>
      <c r="G144" s="79"/>
      <c r="H144" s="1" t="s">
        <v>822</v>
      </c>
      <c r="I144" s="1" t="s">
        <v>823</v>
      </c>
      <c r="J144" s="1">
        <v>1.16</v>
      </c>
      <c r="K144" s="38">
        <f>J142*2+J143+J144</f>
        <v>2.3099999999999996</v>
      </c>
      <c r="L144" s="18">
        <f>ROUND(K144*(1+L$3),4)</f>
        <v>2.31</v>
      </c>
    </row>
    <row r="145" spans="1:7" ht="14.25" customHeight="1">
      <c r="A145" s="1" t="s">
        <v>824</v>
      </c>
      <c r="B145" s="84">
        <v>4.655</v>
      </c>
      <c r="C145" s="31">
        <f>B145*(1+C$3)</f>
        <v>5.120500000000001</v>
      </c>
      <c r="D145" s="17">
        <f>C145*(1+(D$3*D$4))</f>
        <v>4.8644750000000005</v>
      </c>
      <c r="F145" s="79"/>
      <c r="G145" s="79"/>
    </row>
    <row r="146" spans="2:12" ht="12.75" customHeight="1">
      <c r="B146" s="84"/>
      <c r="F146" s="79"/>
      <c r="G146" s="79"/>
      <c r="H146" s="1" t="s">
        <v>825</v>
      </c>
      <c r="I146" s="1" t="s">
        <v>826</v>
      </c>
      <c r="J146" s="1">
        <v>0.39</v>
      </c>
      <c r="L146" s="18">
        <f>ROUND(K146*(1+L$3),4)</f>
        <v>0</v>
      </c>
    </row>
    <row r="147" spans="1:12" ht="14.25" customHeight="1">
      <c r="A147" s="1" t="s">
        <v>827</v>
      </c>
      <c r="B147" s="84">
        <v>4.245</v>
      </c>
      <c r="C147" s="31">
        <f>B147*(1+C$3)</f>
        <v>4.6695</v>
      </c>
      <c r="D147" s="17">
        <f>C147*(1+(D$3*D$4))</f>
        <v>4.436025</v>
      </c>
      <c r="F147" s="79"/>
      <c r="G147" s="79"/>
      <c r="H147" s="1" t="s">
        <v>828</v>
      </c>
      <c r="I147" s="1" t="s">
        <v>829</v>
      </c>
      <c r="J147" s="1">
        <v>1.01</v>
      </c>
      <c r="K147" s="38">
        <f>J146*2+J147</f>
        <v>1.79</v>
      </c>
      <c r="L147" s="18">
        <f>ROUND(K147*(1+L$3),4)</f>
        <v>1.79</v>
      </c>
    </row>
    <row r="148" spans="2:12" ht="12.75" customHeight="1">
      <c r="B148" s="84"/>
      <c r="F148" s="79"/>
      <c r="G148" s="79"/>
      <c r="H148" s="1" t="s">
        <v>822</v>
      </c>
      <c r="I148" s="1" t="s">
        <v>830</v>
      </c>
      <c r="J148" s="1">
        <v>1.82</v>
      </c>
      <c r="K148" s="38">
        <f>J146*2+J147+J148</f>
        <v>3.6100000000000003</v>
      </c>
      <c r="L148" s="18">
        <f>ROUND(K148*(1+L$3),4)</f>
        <v>3.61</v>
      </c>
    </row>
    <row r="149" spans="1:7" ht="14.25" customHeight="1">
      <c r="A149" s="1" t="s">
        <v>831</v>
      </c>
      <c r="B149" s="84">
        <v>1.054</v>
      </c>
      <c r="C149" s="31">
        <f>B149*(1+C$3)</f>
        <v>1.1594000000000002</v>
      </c>
      <c r="D149" s="17">
        <f>C149*(1+(D$3*D$4))</f>
        <v>1.1014300000000001</v>
      </c>
      <c r="F149" s="79"/>
      <c r="G149" s="79"/>
    </row>
    <row r="150" spans="1:7" ht="12.75" customHeight="1">
      <c r="A150" s="1" t="s">
        <v>832</v>
      </c>
      <c r="B150" s="84"/>
      <c r="F150" s="79"/>
      <c r="G150" s="79"/>
    </row>
    <row r="151" spans="1:7" ht="14.25" customHeight="1">
      <c r="A151" s="1" t="s">
        <v>833</v>
      </c>
      <c r="B151" s="84">
        <v>1.371</v>
      </c>
      <c r="C151" s="31">
        <f>B151*(1+C$3)</f>
        <v>1.5081000000000002</v>
      </c>
      <c r="D151" s="17">
        <f>C151*(1+(D$3*D$4))</f>
        <v>1.432695</v>
      </c>
      <c r="F151" s="79"/>
      <c r="G151" s="79"/>
    </row>
    <row r="152" spans="1:12" ht="12.75" customHeight="1">
      <c r="A152" s="1" t="s">
        <v>834</v>
      </c>
      <c r="B152" s="84"/>
      <c r="F152" s="79"/>
      <c r="G152" s="79"/>
      <c r="H152" s="91" t="s">
        <v>835</v>
      </c>
      <c r="I152" s="1" t="s">
        <v>836</v>
      </c>
      <c r="J152" s="10">
        <v>0.8232912767701539</v>
      </c>
      <c r="K152" s="38"/>
      <c r="L152" s="18">
        <f>ROUND(K152*(1+L$3),4)</f>
        <v>0</v>
      </c>
    </row>
    <row r="153" spans="1:12" ht="14.25" customHeight="1">
      <c r="A153" s="1" t="s">
        <v>837</v>
      </c>
      <c r="B153" s="84">
        <v>4.867</v>
      </c>
      <c r="C153" s="31">
        <f>B153*(1+C$3)</f>
        <v>5.353700000000001</v>
      </c>
      <c r="D153" s="17">
        <f>C153*(1+(D$3*D$4))</f>
        <v>5.086015000000001</v>
      </c>
      <c r="F153" s="79"/>
      <c r="G153" s="79"/>
      <c r="H153" s="91" t="s">
        <v>838</v>
      </c>
      <c r="I153" s="92" t="s">
        <v>839</v>
      </c>
      <c r="J153" s="10">
        <v>1.0419142178735599</v>
      </c>
      <c r="K153" s="38"/>
      <c r="L153" s="18">
        <f>ROUND(K153*(1+L$3),4)</f>
        <v>0</v>
      </c>
    </row>
    <row r="154" spans="2:7" ht="12.75" customHeight="1">
      <c r="B154" s="84"/>
      <c r="F154" s="79"/>
      <c r="G154" s="79"/>
    </row>
    <row r="155" spans="1:10" ht="14.25" customHeight="1">
      <c r="A155" s="1" t="s">
        <v>840</v>
      </c>
      <c r="B155" s="84">
        <v>2.667</v>
      </c>
      <c r="C155" s="31">
        <f>B155*(1+C$3)</f>
        <v>2.9337</v>
      </c>
      <c r="D155" s="17">
        <f>C155*(1+(D$3*D$4))</f>
        <v>2.787015</v>
      </c>
      <c r="F155" s="79"/>
      <c r="G155" s="79"/>
      <c r="H155" s="91" t="s">
        <v>841</v>
      </c>
      <c r="I155" s="1" t="s">
        <v>718</v>
      </c>
      <c r="J155" s="10">
        <v>0.4</v>
      </c>
    </row>
    <row r="156" spans="2:12" ht="12.75" customHeight="1">
      <c r="B156" s="1" t="s">
        <v>842</v>
      </c>
      <c r="F156" s="79"/>
      <c r="G156" s="79"/>
      <c r="H156" s="1" t="s">
        <v>843</v>
      </c>
      <c r="I156" s="1" t="s">
        <v>844</v>
      </c>
      <c r="J156" s="1">
        <v>0.29</v>
      </c>
      <c r="K156" s="38">
        <f>J155*2+J156</f>
        <v>1.09</v>
      </c>
      <c r="L156" s="18">
        <f>ROUND(K156*(1+L$3),4)</f>
        <v>1.09</v>
      </c>
    </row>
    <row r="157" spans="6:12" ht="12.75" customHeight="1">
      <c r="F157" s="79"/>
      <c r="G157" s="79"/>
      <c r="H157" s="1" t="s">
        <v>845</v>
      </c>
      <c r="I157" s="1" t="s">
        <v>589</v>
      </c>
      <c r="J157" s="1">
        <v>0.48</v>
      </c>
      <c r="K157" s="38">
        <f>J155*2+J157</f>
        <v>1.28</v>
      </c>
      <c r="L157" s="18">
        <f>ROUND(K157*(1+L$3),4)</f>
        <v>1.28</v>
      </c>
    </row>
    <row r="158" spans="6:12" ht="12.75" customHeight="1">
      <c r="F158" s="79"/>
      <c r="G158" s="79"/>
      <c r="H158"/>
      <c r="I158"/>
      <c r="J158"/>
      <c r="K158"/>
      <c r="L158"/>
    </row>
    <row r="159" spans="6:12" ht="12.75" customHeight="1">
      <c r="F159" s="79"/>
      <c r="G159" s="79"/>
      <c r="H159"/>
      <c r="I159"/>
      <c r="J159"/>
      <c r="K159"/>
      <c r="L159"/>
    </row>
    <row r="160" spans="6:12" ht="12.75" customHeight="1">
      <c r="F160" s="79"/>
      <c r="G160" s="79"/>
      <c r="H160" s="93" t="s">
        <v>846</v>
      </c>
      <c r="I160"/>
      <c r="J160"/>
      <c r="K160"/>
      <c r="L160"/>
    </row>
    <row r="161" spans="6:12" ht="12.75" customHeight="1">
      <c r="F161" s="79"/>
      <c r="G161" s="79"/>
      <c r="H161"/>
      <c r="I161"/>
      <c r="J161"/>
      <c r="K161"/>
      <c r="L161"/>
    </row>
    <row r="162" spans="6:12" ht="12.75" customHeight="1">
      <c r="F162" s="79"/>
      <c r="G162" s="79"/>
      <c r="H162" s="94" t="s">
        <v>847</v>
      </c>
      <c r="I162"/>
      <c r="J162"/>
      <c r="K162"/>
      <c r="L162"/>
    </row>
    <row r="163" spans="6:13" ht="12.75" customHeight="1">
      <c r="F163" s="79"/>
      <c r="G163" s="79" t="s">
        <v>848</v>
      </c>
      <c r="H163" s="1" t="s">
        <v>849</v>
      </c>
      <c r="I163" s="1" t="s">
        <v>850</v>
      </c>
      <c r="J163" s="10">
        <v>2.43</v>
      </c>
      <c r="K163" s="38"/>
      <c r="M163" s="1">
        <f>1.1*2.341</f>
        <v>2.5751000000000004</v>
      </c>
    </row>
    <row r="164" spans="6:14" ht="12.75" customHeight="1">
      <c r="F164" s="79"/>
      <c r="G164" s="79" t="s">
        <v>851</v>
      </c>
      <c r="H164" s="1" t="s">
        <v>852</v>
      </c>
      <c r="I164" s="1" t="s">
        <v>853</v>
      </c>
      <c r="J164" s="10">
        <v>2.74</v>
      </c>
      <c r="K164" s="38">
        <f>J163+J164</f>
        <v>5.17</v>
      </c>
      <c r="L164" s="18">
        <f>ROUND(K164*(1+L$3),4)</f>
        <v>5.17</v>
      </c>
      <c r="M164" s="1">
        <f>1.1*2.565</f>
        <v>2.8215000000000003</v>
      </c>
      <c r="N164" s="1">
        <f>M164+M163</f>
        <v>5.396600000000001</v>
      </c>
    </row>
    <row r="165" spans="6:11" ht="12.75" customHeight="1">
      <c r="F165" s="79"/>
      <c r="G165" s="79" t="s">
        <v>854</v>
      </c>
      <c r="H165" s="1" t="s">
        <v>855</v>
      </c>
      <c r="I165" s="92" t="s">
        <v>856</v>
      </c>
      <c r="J165" s="10">
        <v>4.46</v>
      </c>
      <c r="K165" s="38"/>
    </row>
    <row r="166" spans="6:15" ht="12.75" customHeight="1">
      <c r="F166" s="79"/>
      <c r="G166" s="79" t="s">
        <v>857</v>
      </c>
      <c r="H166" s="1" t="s">
        <v>858</v>
      </c>
      <c r="I166" s="92" t="s">
        <v>859</v>
      </c>
      <c r="J166" s="10">
        <v>2.5300000000000002</v>
      </c>
      <c r="K166" s="38">
        <f>J165+J166</f>
        <v>6.99</v>
      </c>
      <c r="L166" s="18">
        <f>ROUND(K166*(1+L$3),4)</f>
        <v>6.99</v>
      </c>
      <c r="M166"/>
      <c r="N166">
        <f>L166</f>
        <v>6.99</v>
      </c>
      <c r="O166"/>
    </row>
    <row r="167" spans="6:15" ht="12.75" customHeight="1">
      <c r="F167" s="79"/>
      <c r="G167" s="79"/>
      <c r="H167" t="s">
        <v>860</v>
      </c>
      <c r="I167"/>
      <c r="J167">
        <f>SUM(J163:J166)</f>
        <v>12.16</v>
      </c>
      <c r="K167"/>
      <c r="L167">
        <f>L166+L164</f>
        <v>12.16</v>
      </c>
      <c r="M167"/>
      <c r="N167">
        <f>N166+N164</f>
        <v>12.386600000000001</v>
      </c>
      <c r="O167"/>
    </row>
    <row r="168" spans="6:12" ht="12.75" customHeight="1">
      <c r="F168" s="79"/>
      <c r="G168" s="79"/>
      <c r="H168"/>
      <c r="I168"/>
      <c r="J168"/>
      <c r="K168"/>
      <c r="L168"/>
    </row>
    <row r="169" spans="6:13" ht="12.75" customHeight="1">
      <c r="F169" s="79"/>
      <c r="G169" s="79"/>
      <c r="H169" s="94" t="s">
        <v>861</v>
      </c>
      <c r="I169"/>
      <c r="J169"/>
      <c r="K169"/>
      <c r="L169"/>
      <c r="M169"/>
    </row>
    <row r="170" spans="6:13" ht="12.75" customHeight="1">
      <c r="F170" s="79"/>
      <c r="G170" s="79" t="s">
        <v>848</v>
      </c>
      <c r="H170" s="1" t="s">
        <v>862</v>
      </c>
      <c r="I170" s="1" t="s">
        <v>863</v>
      </c>
      <c r="J170" s="10">
        <v>3.04</v>
      </c>
      <c r="K170" s="38"/>
      <c r="M170">
        <f>1.1*3.18</f>
        <v>3.4980000000000007</v>
      </c>
    </row>
    <row r="171" spans="6:14" ht="12.75" customHeight="1">
      <c r="F171" s="79"/>
      <c r="G171" s="79" t="s">
        <v>851</v>
      </c>
      <c r="H171" s="1" t="s">
        <v>864</v>
      </c>
      <c r="I171" s="1" t="s">
        <v>865</v>
      </c>
      <c r="J171" s="10">
        <v>3.5</v>
      </c>
      <c r="K171" s="38">
        <f>J170+J171</f>
        <v>6.54</v>
      </c>
      <c r="L171" s="18">
        <f>ROUND(K171*(1+L$3),4)</f>
        <v>6.54</v>
      </c>
      <c r="M171">
        <f>1.1*3.404</f>
        <v>3.7444</v>
      </c>
      <c r="N171" s="1">
        <f>M171+M170</f>
        <v>7.242400000000001</v>
      </c>
    </row>
    <row r="172" spans="6:13" ht="12.75" customHeight="1">
      <c r="F172" s="79"/>
      <c r="G172" s="79" t="s">
        <v>854</v>
      </c>
      <c r="H172" s="1" t="s">
        <v>866</v>
      </c>
      <c r="I172" s="92" t="s">
        <v>867</v>
      </c>
      <c r="J172" s="10">
        <v>5.99</v>
      </c>
      <c r="K172" s="38"/>
      <c r="M172"/>
    </row>
    <row r="173" spans="6:14" ht="12.75" customHeight="1">
      <c r="F173" s="79"/>
      <c r="G173" s="79" t="s">
        <v>857</v>
      </c>
      <c r="H173" s="1" t="s">
        <v>868</v>
      </c>
      <c r="I173" s="92" t="s">
        <v>869</v>
      </c>
      <c r="J173" s="10">
        <v>3.35</v>
      </c>
      <c r="K173" s="38">
        <f>J172+J173</f>
        <v>9.34</v>
      </c>
      <c r="L173" s="18">
        <f>ROUND(K173*(1+L$3),4)</f>
        <v>9.34</v>
      </c>
      <c r="M173"/>
      <c r="N173">
        <f>L173</f>
        <v>9.34</v>
      </c>
    </row>
    <row r="174" spans="6:14" ht="12.75" customHeight="1">
      <c r="F174" s="79"/>
      <c r="G174" s="79"/>
      <c r="H174" t="s">
        <v>860</v>
      </c>
      <c r="I174"/>
      <c r="J174">
        <f>SUM(J170:J173)</f>
        <v>15.879999999999999</v>
      </c>
      <c r="K174"/>
      <c r="L174">
        <f>L173+L171</f>
        <v>15.879999999999999</v>
      </c>
      <c r="M174"/>
      <c r="N174">
        <f>N173+N171</f>
        <v>16.5824</v>
      </c>
    </row>
    <row r="175" spans="6:13" ht="12.75" customHeight="1">
      <c r="F175" s="79"/>
      <c r="G175" s="79"/>
      <c r="H175"/>
      <c r="I175"/>
      <c r="J175"/>
      <c r="K175"/>
      <c r="L175"/>
      <c r="M175"/>
    </row>
    <row r="176" spans="6:13" ht="12.75" customHeight="1">
      <c r="F176" s="79"/>
      <c r="G176" s="79"/>
      <c r="H176" s="94" t="s">
        <v>870</v>
      </c>
      <c r="I176"/>
      <c r="J176"/>
      <c r="K176"/>
      <c r="L176"/>
      <c r="M176"/>
    </row>
    <row r="177" spans="6:13" ht="12.75" customHeight="1">
      <c r="F177" s="79"/>
      <c r="G177" s="79" t="s">
        <v>848</v>
      </c>
      <c r="H177" s="1" t="s">
        <v>871</v>
      </c>
      <c r="I177" s="1" t="s">
        <v>872</v>
      </c>
      <c r="J177" s="10">
        <v>3.5</v>
      </c>
      <c r="K177" s="38"/>
      <c r="M177">
        <f>1.1*3.894</f>
        <v>4.2834</v>
      </c>
    </row>
    <row r="178" spans="6:14" ht="12.75" customHeight="1">
      <c r="F178" s="79"/>
      <c r="G178" s="79" t="s">
        <v>851</v>
      </c>
      <c r="H178" s="1" t="s">
        <v>873</v>
      </c>
      <c r="I178" s="1" t="s">
        <v>874</v>
      </c>
      <c r="J178" s="10">
        <v>3.8</v>
      </c>
      <c r="K178" s="38">
        <f>J177+J178</f>
        <v>7.3</v>
      </c>
      <c r="L178" s="18">
        <f>ROUND(K178*(1+L$3),4)</f>
        <v>7.3</v>
      </c>
      <c r="M178" s="1">
        <f>1.1*4.116</f>
        <v>4.5276</v>
      </c>
      <c r="N178" s="1">
        <f>M178+M177</f>
        <v>8.811</v>
      </c>
    </row>
    <row r="179" spans="6:11" ht="12.75" customHeight="1">
      <c r="F179" s="79"/>
      <c r="G179" s="79" t="s">
        <v>854</v>
      </c>
      <c r="H179" s="1" t="s">
        <v>875</v>
      </c>
      <c r="I179" s="92" t="s">
        <v>876</v>
      </c>
      <c r="J179" s="10">
        <v>6.97</v>
      </c>
      <c r="K179" s="38"/>
    </row>
    <row r="180" spans="6:14" ht="12.75" customHeight="1">
      <c r="F180" s="79"/>
      <c r="G180" s="79" t="s">
        <v>857</v>
      </c>
      <c r="H180" s="1" t="s">
        <v>877</v>
      </c>
      <c r="I180" s="92" t="s">
        <v>878</v>
      </c>
      <c r="J180" s="10">
        <v>4.1</v>
      </c>
      <c r="K180" s="38">
        <f>J179+J180</f>
        <v>11.07</v>
      </c>
      <c r="L180" s="18">
        <f>ROUND(K180*(1+L$3),4)</f>
        <v>11.07</v>
      </c>
      <c r="N180">
        <f>L180</f>
        <v>11.07</v>
      </c>
    </row>
    <row r="181" spans="6:14" ht="12.75" customHeight="1">
      <c r="F181" s="79"/>
      <c r="G181" s="79"/>
      <c r="H181" t="s">
        <v>860</v>
      </c>
      <c r="I181"/>
      <c r="J181">
        <f>SUM(J177:J180)</f>
        <v>18.369999999999997</v>
      </c>
      <c r="K181"/>
      <c r="L181">
        <f>L180+L178</f>
        <v>18.37</v>
      </c>
      <c r="N181">
        <f>N180+N178</f>
        <v>19.881</v>
      </c>
    </row>
    <row r="182" spans="6:12" ht="12.75" customHeight="1">
      <c r="F182" s="79"/>
      <c r="G182" s="79"/>
      <c r="H182"/>
      <c r="I182"/>
      <c r="J182"/>
      <c r="K182"/>
      <c r="L182"/>
    </row>
    <row r="183" spans="6:11" ht="12.75" customHeight="1">
      <c r="F183" s="79"/>
      <c r="G183" s="79"/>
      <c r="H183" s="94" t="s">
        <v>879</v>
      </c>
      <c r="K183" s="38"/>
    </row>
    <row r="184" spans="6:13" ht="12.75" customHeight="1">
      <c r="F184" s="79"/>
      <c r="G184" s="79" t="s">
        <v>848</v>
      </c>
      <c r="H184" s="1" t="s">
        <v>880</v>
      </c>
      <c r="I184" s="1" t="s">
        <v>881</v>
      </c>
      <c r="J184" s="10">
        <v>4.25</v>
      </c>
      <c r="K184" s="38"/>
      <c r="M184" s="1">
        <f>1.1*5.34</f>
        <v>5.8740000000000006</v>
      </c>
    </row>
    <row r="185" spans="6:14" ht="12.75" customHeight="1">
      <c r="F185" s="79"/>
      <c r="G185" s="79" t="s">
        <v>851</v>
      </c>
      <c r="H185" s="1" t="s">
        <v>882</v>
      </c>
      <c r="I185" s="1" t="s">
        <v>883</v>
      </c>
      <c r="J185" s="10">
        <v>4.71</v>
      </c>
      <c r="K185" s="38">
        <f>J184+J185</f>
        <v>8.96</v>
      </c>
      <c r="L185" s="18">
        <f>ROUND(K185*(1+L$3),4)</f>
        <v>8.96</v>
      </c>
      <c r="M185" s="1">
        <f>1.1*5.562</f>
        <v>6.118200000000001</v>
      </c>
      <c r="N185" s="1">
        <f>M185+M184</f>
        <v>11.9922</v>
      </c>
    </row>
    <row r="186" spans="6:11" ht="12.75" customHeight="1">
      <c r="F186" s="79"/>
      <c r="G186" s="79" t="s">
        <v>854</v>
      </c>
      <c r="H186" s="1" t="s">
        <v>884</v>
      </c>
      <c r="I186" s="92" t="s">
        <v>885</v>
      </c>
      <c r="J186" s="10">
        <v>8.87</v>
      </c>
      <c r="K186" s="38"/>
    </row>
    <row r="187" spans="6:14" ht="12.75" customHeight="1">
      <c r="F187" s="79"/>
      <c r="G187" s="79" t="s">
        <v>857</v>
      </c>
      <c r="H187" s="1" t="s">
        <v>886</v>
      </c>
      <c r="I187" s="92" t="s">
        <v>887</v>
      </c>
      <c r="J187" s="10">
        <v>5.1</v>
      </c>
      <c r="K187" s="38">
        <f>J186+J187</f>
        <v>13.969999999999999</v>
      </c>
      <c r="L187" s="18">
        <f>ROUND(K187*(1+L$3),4)</f>
        <v>13.97</v>
      </c>
      <c r="N187">
        <f>L187</f>
        <v>13.97</v>
      </c>
    </row>
    <row r="188" spans="6:14" ht="12.75" customHeight="1">
      <c r="F188" s="79"/>
      <c r="G188" s="79"/>
      <c r="H188" t="s">
        <v>860</v>
      </c>
      <c r="I188"/>
      <c r="J188">
        <f>SUM(J184:J187)</f>
        <v>22.93</v>
      </c>
      <c r="K188"/>
      <c r="L188">
        <f>L187+L185</f>
        <v>22.93</v>
      </c>
      <c r="N188">
        <f>N187+N185</f>
        <v>25.962200000000003</v>
      </c>
    </row>
    <row r="189" spans="8:11" ht="14.25">
      <c r="H189"/>
      <c r="I189"/>
      <c r="J189"/>
      <c r="K189" s="38"/>
    </row>
    <row r="190" spans="8:12" ht="14.25">
      <c r="H190" s="94" t="s">
        <v>888</v>
      </c>
      <c r="K190" s="38"/>
      <c r="L190" s="18">
        <f>ROUND(K190*(1+L$3),4)</f>
        <v>0</v>
      </c>
    </row>
    <row r="191" spans="7:12" ht="14.25">
      <c r="G191" s="79" t="s">
        <v>848</v>
      </c>
      <c r="H191" s="1" t="s">
        <v>849</v>
      </c>
      <c r="I191" s="1" t="s">
        <v>850</v>
      </c>
      <c r="J191" s="10">
        <v>2.43</v>
      </c>
      <c r="K191" s="38"/>
      <c r="L191"/>
    </row>
    <row r="192" spans="7:12" ht="14.25">
      <c r="G192" s="79" t="s">
        <v>851</v>
      </c>
      <c r="H192" s="1" t="s">
        <v>852</v>
      </c>
      <c r="I192" s="1" t="s">
        <v>853</v>
      </c>
      <c r="J192" s="10">
        <v>2.74</v>
      </c>
      <c r="K192" s="38">
        <f>J191+J192</f>
        <v>5.17</v>
      </c>
      <c r="L192"/>
    </row>
    <row r="193" spans="7:12" ht="14.25">
      <c r="G193" s="79" t="s">
        <v>854</v>
      </c>
      <c r="H193" s="1" t="s">
        <v>889</v>
      </c>
      <c r="I193" s="92" t="s">
        <v>890</v>
      </c>
      <c r="J193" s="10">
        <v>3.01</v>
      </c>
      <c r="K193"/>
      <c r="L193"/>
    </row>
    <row r="194" spans="7:12" ht="14.25">
      <c r="G194" s="79" t="s">
        <v>857</v>
      </c>
      <c r="H194"/>
      <c r="I194"/>
      <c r="J194"/>
      <c r="K194"/>
      <c r="L194"/>
    </row>
    <row r="195" spans="8:12" ht="14.25">
      <c r="H195" t="s">
        <v>860</v>
      </c>
      <c r="I195"/>
      <c r="J195">
        <f>SUM(J191:J194)</f>
        <v>8.18</v>
      </c>
      <c r="K195"/>
      <c r="L195">
        <f>L194+L192</f>
        <v>0</v>
      </c>
    </row>
    <row r="196" spans="8:12" ht="14.25">
      <c r="H196"/>
      <c r="I196"/>
      <c r="J196"/>
      <c r="K196"/>
      <c r="L196"/>
    </row>
    <row r="197" spans="8:12" ht="14.25">
      <c r="H197" s="94" t="s">
        <v>891</v>
      </c>
      <c r="I197"/>
      <c r="J197"/>
      <c r="K197"/>
      <c r="L197"/>
    </row>
    <row r="198" spans="7:11" ht="14.25">
      <c r="G198" s="79" t="s">
        <v>848</v>
      </c>
      <c r="H198" s="91" t="s">
        <v>892</v>
      </c>
      <c r="I198" s="1" t="s">
        <v>893</v>
      </c>
      <c r="J198" s="10">
        <v>4.55</v>
      </c>
      <c r="K198" s="38"/>
    </row>
    <row r="199" spans="7:12" ht="14.25">
      <c r="G199" s="79" t="s">
        <v>851</v>
      </c>
      <c r="H199" s="91" t="s">
        <v>894</v>
      </c>
      <c r="I199" s="1" t="s">
        <v>895</v>
      </c>
      <c r="J199" s="10">
        <v>5.54</v>
      </c>
      <c r="K199" s="38">
        <f>J198+J199</f>
        <v>10.09</v>
      </c>
      <c r="L199" s="18">
        <f>ROUND(K199*(1+L$3),4)</f>
        <v>10.09</v>
      </c>
    </row>
    <row r="200" spans="7:12" ht="14.25">
      <c r="G200" s="79" t="s">
        <v>896</v>
      </c>
      <c r="H200"/>
      <c r="I200"/>
      <c r="J200"/>
      <c r="K200"/>
      <c r="L200"/>
    </row>
    <row r="201" spans="7:13" ht="14.25">
      <c r="G201"/>
      <c r="H201" t="s">
        <v>860</v>
      </c>
      <c r="I201"/>
      <c r="J201">
        <f>SUM(J196:J199)</f>
        <v>10.09</v>
      </c>
      <c r="K201"/>
      <c r="L201">
        <f>L199+L197</f>
        <v>10.09</v>
      </c>
      <c r="M201"/>
    </row>
    <row r="202" spans="8:13" ht="12.75">
      <c r="H202"/>
      <c r="I202"/>
      <c r="J202"/>
      <c r="K202"/>
      <c r="L202"/>
      <c r="M202"/>
    </row>
    <row r="203" spans="8:12" ht="12.75">
      <c r="H203" s="94" t="s">
        <v>891</v>
      </c>
      <c r="I203"/>
      <c r="J203"/>
      <c r="K203"/>
      <c r="L203"/>
    </row>
    <row r="204" spans="7:11" ht="13.5">
      <c r="G204" s="79" t="s">
        <v>848</v>
      </c>
      <c r="H204" s="91" t="s">
        <v>897</v>
      </c>
      <c r="I204" s="1" t="s">
        <v>898</v>
      </c>
      <c r="J204" s="10">
        <v>4.27</v>
      </c>
      <c r="K204" s="38"/>
    </row>
    <row r="205" spans="7:12" ht="13.5">
      <c r="G205" s="79" t="s">
        <v>851</v>
      </c>
      <c r="H205" s="91" t="s">
        <v>899</v>
      </c>
      <c r="I205" s="1" t="s">
        <v>900</v>
      </c>
      <c r="J205" s="10">
        <v>4.94</v>
      </c>
      <c r="K205" s="38">
        <f>J204+J205</f>
        <v>9.21</v>
      </c>
      <c r="L205" s="18">
        <f>ROUND(K205*(1+L$3),4)</f>
        <v>9.21</v>
      </c>
    </row>
    <row r="206" spans="7:12" ht="12.75">
      <c r="G206" s="79" t="s">
        <v>896</v>
      </c>
      <c r="H206"/>
      <c r="I206"/>
      <c r="J206"/>
      <c r="K206"/>
      <c r="L206"/>
    </row>
    <row r="207" spans="8:12" ht="14.25">
      <c r="H207" t="s">
        <v>860</v>
      </c>
      <c r="I207"/>
      <c r="J207">
        <f>SUM(J202:J205)</f>
        <v>9.21</v>
      </c>
      <c r="K207"/>
      <c r="L207">
        <f>L205+L203</f>
        <v>9.21</v>
      </c>
    </row>
    <row r="208" spans="8:12" ht="14.25">
      <c r="H208"/>
      <c r="I208"/>
      <c r="J208"/>
      <c r="K208"/>
      <c r="L208"/>
    </row>
    <row r="209" spans="8:12" ht="14.25">
      <c r="H209" s="94" t="s">
        <v>891</v>
      </c>
      <c r="I209"/>
      <c r="J209"/>
      <c r="K209"/>
      <c r="L209"/>
    </row>
    <row r="210" spans="7:12" ht="14.25">
      <c r="G210" s="79" t="s">
        <v>848</v>
      </c>
      <c r="H210" s="91" t="s">
        <v>901</v>
      </c>
      <c r="I210" s="1" t="s">
        <v>902</v>
      </c>
      <c r="J210" s="10">
        <v>2.85</v>
      </c>
      <c r="K210" s="38"/>
      <c r="L210" s="18"/>
    </row>
    <row r="211" spans="7:12" ht="14.25">
      <c r="G211" s="79" t="s">
        <v>851</v>
      </c>
      <c r="H211" s="91" t="s">
        <v>903</v>
      </c>
      <c r="I211" s="1" t="s">
        <v>904</v>
      </c>
      <c r="J211" s="10">
        <v>3.95</v>
      </c>
      <c r="K211" s="38">
        <f>J210+J211</f>
        <v>6.800000000000001</v>
      </c>
      <c r="L211" s="18">
        <f>ROUND(K211*(1+L$3),4)</f>
        <v>6.8</v>
      </c>
    </row>
    <row r="212" ht="14.25">
      <c r="G212" s="79" t="s">
        <v>896</v>
      </c>
    </row>
    <row r="213" spans="8:12" ht="14.25">
      <c r="H213" t="s">
        <v>860</v>
      </c>
      <c r="I213"/>
      <c r="J213">
        <f>SUM(J208:J211)</f>
        <v>6.800000000000001</v>
      </c>
      <c r="K213"/>
      <c r="L213">
        <f>L211+L209</f>
        <v>6.8</v>
      </c>
    </row>
    <row r="226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SheetLayoutView="10" workbookViewId="0" topLeftCell="A31">
      <selection activeCell="A47" sqref="A47"/>
    </sheetView>
  </sheetViews>
  <sheetFormatPr defaultColWidth="11.421875" defaultRowHeight="12.75"/>
  <cols>
    <col min="1" max="1" width="33.57421875" style="1" customWidth="1"/>
    <col min="2" max="6" width="11.421875" style="1" customWidth="1"/>
    <col min="7" max="7" width="16.140625" style="1" customWidth="1"/>
    <col min="8" max="8" width="16.28125" style="1" customWidth="1"/>
    <col min="9" max="16384" width="11.421875" style="1" customWidth="1"/>
  </cols>
  <sheetData>
    <row r="1" spans="1:9" ht="12.75" customHeight="1">
      <c r="A1" s="1" t="s">
        <v>905</v>
      </c>
      <c r="I1" s="1" t="s">
        <v>906</v>
      </c>
    </row>
    <row r="2" spans="1:12" ht="12.75" customHeight="1">
      <c r="A2" s="1" t="s">
        <v>907</v>
      </c>
      <c r="B2" s="1" t="s">
        <v>908</v>
      </c>
      <c r="C2" s="1" t="s">
        <v>909</v>
      </c>
      <c r="D2" s="1" t="s">
        <v>910</v>
      </c>
      <c r="E2" s="1" t="s">
        <v>911</v>
      </c>
      <c r="I2" s="1" t="s">
        <v>912</v>
      </c>
      <c r="J2" s="1" t="s">
        <v>909</v>
      </c>
      <c r="K2" s="1" t="s">
        <v>910</v>
      </c>
      <c r="L2" s="1" t="s">
        <v>911</v>
      </c>
    </row>
    <row r="3" spans="2:6" ht="12.75" customHeight="1">
      <c r="B3" s="92"/>
      <c r="D3" s="77">
        <v>0.1124</v>
      </c>
      <c r="E3" s="77">
        <v>0.09</v>
      </c>
      <c r="F3" s="1">
        <f>1*(1+D3)*(1+E3)</f>
        <v>1.2125160000000001</v>
      </c>
    </row>
    <row r="4" spans="1:12" ht="12.75" customHeight="1">
      <c r="A4" s="1" t="s">
        <v>913</v>
      </c>
      <c r="B4" s="92">
        <v>1017</v>
      </c>
      <c r="C4" s="1">
        <v>0.13040000000000002</v>
      </c>
      <c r="D4" s="28">
        <f>C4*(1+D$3)</f>
        <v>0.14505696</v>
      </c>
      <c r="E4" s="19">
        <f>(D4*(1+E$3))</f>
        <v>0.15811208640000002</v>
      </c>
      <c r="F4" s="1" t="s">
        <v>914</v>
      </c>
      <c r="H4" s="1" t="s">
        <v>915</v>
      </c>
      <c r="I4" s="1" t="s">
        <v>916</v>
      </c>
      <c r="J4" s="1">
        <v>0.6402</v>
      </c>
      <c r="K4" s="1">
        <v>0.6402</v>
      </c>
      <c r="L4" s="19">
        <f>((K4/J4)-1)*100</f>
        <v>0</v>
      </c>
    </row>
    <row r="5" spans="1:4" ht="12.75" customHeight="1">
      <c r="A5" s="1" t="s">
        <v>917</v>
      </c>
      <c r="B5" s="92"/>
      <c r="D5" s="28"/>
    </row>
    <row r="6" spans="1:12" ht="12.75" customHeight="1">
      <c r="A6" s="1" t="s">
        <v>918</v>
      </c>
      <c r="B6" s="92">
        <v>1020</v>
      </c>
      <c r="C6" s="28">
        <v>0.1092</v>
      </c>
      <c r="D6" s="28">
        <f>C6*(1+D$3)</f>
        <v>0.12147408000000001</v>
      </c>
      <c r="E6" s="19">
        <f>(D6*(1+E$3))</f>
        <v>0.13240674720000004</v>
      </c>
      <c r="F6" s="1" t="s">
        <v>919</v>
      </c>
      <c r="H6" s="1" t="s">
        <v>920</v>
      </c>
      <c r="I6" s="1" t="s">
        <v>921</v>
      </c>
      <c r="J6" s="1">
        <v>0.8003</v>
      </c>
      <c r="K6" s="1">
        <v>0.8003</v>
      </c>
      <c r="L6" s="19">
        <f>((K6/J6)-1)*100</f>
        <v>0</v>
      </c>
    </row>
    <row r="7" spans="1:4" ht="12.75" customHeight="1">
      <c r="A7" s="1" t="s">
        <v>922</v>
      </c>
      <c r="B7" s="92"/>
      <c r="D7" s="28"/>
    </row>
    <row r="8" spans="1:12" ht="12.75" customHeight="1">
      <c r="A8" s="1" t="s">
        <v>923</v>
      </c>
      <c r="B8" s="92">
        <v>1028</v>
      </c>
      <c r="C8" s="1">
        <v>0.1275</v>
      </c>
      <c r="D8" s="28">
        <f>C8*(1+D$3)</f>
        <v>0.141831</v>
      </c>
      <c r="E8" s="19">
        <f>(D8*(1+E$3))</f>
        <v>0.15459579000000004</v>
      </c>
      <c r="F8" s="1" t="s">
        <v>924</v>
      </c>
      <c r="H8" s="1" t="s">
        <v>925</v>
      </c>
      <c r="I8" s="1" t="s">
        <v>926</v>
      </c>
      <c r="J8" s="1">
        <v>0.6954</v>
      </c>
      <c r="K8" s="1">
        <v>0.6954</v>
      </c>
      <c r="L8" s="19">
        <f>((K8/J8)-1)*100</f>
        <v>0</v>
      </c>
    </row>
    <row r="9" spans="1:4" ht="12.75" customHeight="1">
      <c r="A9" s="1" t="s">
        <v>927</v>
      </c>
      <c r="B9" s="92"/>
      <c r="D9" s="28"/>
    </row>
    <row r="10" spans="1:5" ht="12.75" customHeight="1">
      <c r="A10" s="95" t="s">
        <v>928</v>
      </c>
      <c r="B10" s="1">
        <v>1031</v>
      </c>
      <c r="C10" s="21">
        <v>0.2963</v>
      </c>
      <c r="D10" s="28">
        <f>C10*(1+D$3)</f>
        <v>0.32960412</v>
      </c>
      <c r="E10" s="19">
        <f>(D10*(1+E$3))</f>
        <v>0.3592684908</v>
      </c>
    </row>
    <row r="11" spans="2:4" ht="12.75" customHeight="1">
      <c r="B11" s="92"/>
      <c r="D11" s="28"/>
    </row>
    <row r="12" spans="1:6" ht="12.75" customHeight="1">
      <c r="A12" s="1" t="s">
        <v>929</v>
      </c>
      <c r="B12" s="1">
        <v>1035</v>
      </c>
      <c r="C12" s="1">
        <v>0.15330000000000002</v>
      </c>
      <c r="D12" s="28">
        <f>C12*(1+D$3)</f>
        <v>0.17053092000000003</v>
      </c>
      <c r="E12" s="19">
        <f>(D12*(1+E$3))</f>
        <v>0.18587870280000005</v>
      </c>
      <c r="F12" s="1" t="s">
        <v>930</v>
      </c>
    </row>
    <row r="13" spans="1:4" ht="12.75" customHeight="1">
      <c r="A13" s="1" t="s">
        <v>931</v>
      </c>
      <c r="D13" s="28"/>
    </row>
    <row r="14" spans="1:12" ht="12.75" customHeight="1">
      <c r="A14" s="1" t="s">
        <v>932</v>
      </c>
      <c r="B14" s="92">
        <v>1048</v>
      </c>
      <c r="C14" s="1">
        <v>0.15180000000000002</v>
      </c>
      <c r="D14" s="28">
        <f>C14*(1+D$3)</f>
        <v>0.16886232000000004</v>
      </c>
      <c r="E14" s="19">
        <f>(D14*(1+E$3))</f>
        <v>0.18405992880000005</v>
      </c>
      <c r="F14" s="1" t="s">
        <v>933</v>
      </c>
      <c r="H14" s="1" t="s">
        <v>934</v>
      </c>
      <c r="I14" s="1" t="s">
        <v>935</v>
      </c>
      <c r="J14" s="1">
        <v>0.7428</v>
      </c>
      <c r="K14" s="1">
        <v>0.7428</v>
      </c>
      <c r="L14" s="19">
        <f>((K14/J14)-1)*100</f>
        <v>0</v>
      </c>
    </row>
    <row r="15" ht="12.75" customHeight="1">
      <c r="D15" s="28"/>
    </row>
    <row r="16" spans="2:12" ht="12.75" customHeight="1">
      <c r="B16" s="92">
        <v>1060</v>
      </c>
      <c r="C16" s="1">
        <v>0.3472</v>
      </c>
      <c r="D16" s="28">
        <f>C16*(1+D$3)</f>
        <v>0.38622528</v>
      </c>
      <c r="E16" s="19">
        <f>(D16*(1+E$3))</f>
        <v>0.42098555520000003</v>
      </c>
      <c r="H16" s="1" t="s">
        <v>936</v>
      </c>
      <c r="I16" s="1" t="s">
        <v>937</v>
      </c>
      <c r="J16" s="1">
        <v>0.9851000000000001</v>
      </c>
      <c r="K16" s="1">
        <v>0.9851000000000001</v>
      </c>
      <c r="L16" s="19">
        <f>((K16/J16)-1)*100</f>
        <v>0</v>
      </c>
    </row>
    <row r="17" ht="12.75" customHeight="1">
      <c r="D17" s="28"/>
    </row>
    <row r="18" spans="1:5" ht="12.75" customHeight="1">
      <c r="A18" s="1" t="s">
        <v>938</v>
      </c>
      <c r="B18" s="92">
        <v>1075</v>
      </c>
      <c r="C18" s="96">
        <f>1.2256*1.03*1.11</f>
        <v>1.4012284800000003</v>
      </c>
      <c r="D18" s="96"/>
      <c r="E18" s="19">
        <f>(D18*(1+E$3))</f>
        <v>0</v>
      </c>
    </row>
    <row r="19" ht="12.75" customHeight="1">
      <c r="D19" s="28"/>
    </row>
    <row r="20" spans="1:12" ht="12.75" customHeight="1">
      <c r="A20" s="1" t="s">
        <v>939</v>
      </c>
      <c r="B20" s="92">
        <v>1083</v>
      </c>
      <c r="C20" s="1">
        <v>0.2202</v>
      </c>
      <c r="D20" s="28">
        <f>C20*(1+D$3)</f>
        <v>0.24495048000000003</v>
      </c>
      <c r="E20" s="19">
        <f>(D20*(1+E$3))</f>
        <v>0.26699602320000004</v>
      </c>
      <c r="F20" s="1" t="s">
        <v>940</v>
      </c>
      <c r="H20" s="1" t="s">
        <v>941</v>
      </c>
      <c r="I20" s="1" t="s">
        <v>942</v>
      </c>
      <c r="J20" s="1">
        <v>2.5082</v>
      </c>
      <c r="K20" s="1">
        <v>2.5082</v>
      </c>
      <c r="L20" s="19">
        <f>((K20/J20)-1)*100</f>
        <v>0</v>
      </c>
    </row>
    <row r="21" spans="2:4" ht="12.75" customHeight="1">
      <c r="B21" s="92"/>
      <c r="D21" s="28"/>
    </row>
    <row r="22" spans="1:12" ht="12.75" customHeight="1">
      <c r="A22" s="1" t="s">
        <v>943</v>
      </c>
      <c r="B22" s="92">
        <v>1084</v>
      </c>
      <c r="C22" s="1">
        <v>0.2184</v>
      </c>
      <c r="D22" s="28">
        <f>C22*(1+D$3)</f>
        <v>0.24294816000000002</v>
      </c>
      <c r="E22" s="19">
        <f>(D22*(1+E$3))</f>
        <v>0.26481349440000007</v>
      </c>
      <c r="H22" s="1" t="s">
        <v>944</v>
      </c>
      <c r="I22" s="1" t="s">
        <v>945</v>
      </c>
      <c r="J22" s="1">
        <v>2.0666</v>
      </c>
      <c r="K22" s="1">
        <v>2.0666</v>
      </c>
      <c r="L22" s="19">
        <f>((K22/J22)-1)*100</f>
        <v>0</v>
      </c>
    </row>
    <row r="23" spans="2:4" ht="12.75" customHeight="1">
      <c r="B23" s="92"/>
      <c r="D23" s="28"/>
    </row>
    <row r="24" spans="1:5" ht="12.75" customHeight="1">
      <c r="A24" s="1" t="s">
        <v>946</v>
      </c>
      <c r="B24" s="97" t="s">
        <v>947</v>
      </c>
      <c r="C24" s="21">
        <v>0.23</v>
      </c>
      <c r="D24" s="28">
        <f>C24*(1+D$3)</f>
        <v>0.255852</v>
      </c>
      <c r="E24" s="19">
        <f>(D24*(1+E$3))</f>
        <v>0.27887868000000005</v>
      </c>
    </row>
    <row r="25" spans="2:4" ht="12.75" customHeight="1">
      <c r="B25" s="92"/>
      <c r="D25" s="28"/>
    </row>
    <row r="26" spans="1:6" ht="12.75" customHeight="1">
      <c r="A26" s="1" t="s">
        <v>948</v>
      </c>
      <c r="B26" s="92">
        <v>1099</v>
      </c>
      <c r="C26" s="1">
        <v>0.26990000000000003</v>
      </c>
      <c r="D26" s="28">
        <f>C26*(1+D$3)</f>
        <v>0.30023676000000005</v>
      </c>
      <c r="E26" s="19">
        <f>(D26*(1+E$3))</f>
        <v>0.3272580684000001</v>
      </c>
      <c r="F26" s="1" t="s">
        <v>949</v>
      </c>
    </row>
    <row r="27" ht="12.75" customHeight="1">
      <c r="D27" s="28"/>
    </row>
    <row r="28" spans="1:5" ht="12.75" customHeight="1">
      <c r="A28" s="56" t="s">
        <v>950</v>
      </c>
      <c r="B28" s="1">
        <v>1131</v>
      </c>
      <c r="C28" s="21">
        <v>0.9</v>
      </c>
      <c r="D28" s="28">
        <f>C28*(1+D$3)</f>
        <v>1.00116</v>
      </c>
      <c r="E28" s="19">
        <f>(D28*(1+E$3))</f>
        <v>1.0912644000000002</v>
      </c>
    </row>
    <row r="29" ht="12.75" customHeight="1">
      <c r="D29" s="28"/>
    </row>
    <row r="30" spans="1:11" ht="12.75" customHeight="1">
      <c r="A30" s="56" t="s">
        <v>951</v>
      </c>
      <c r="B30" s="1">
        <v>1133</v>
      </c>
      <c r="C30" s="1">
        <v>0.893</v>
      </c>
      <c r="D30" s="28">
        <f>C30*(1+D$3)</f>
        <v>0.9933732000000001</v>
      </c>
      <c r="E30" s="19">
        <f>(D30*(1+E$3))</f>
        <v>1.082776788</v>
      </c>
      <c r="H30" s="1" t="s">
        <v>952</v>
      </c>
      <c r="I30" s="1" t="s">
        <v>953</v>
      </c>
      <c r="J30" s="1">
        <v>0.5036</v>
      </c>
      <c r="K30" s="1" t="s">
        <v>954</v>
      </c>
    </row>
    <row r="31" spans="4:11" ht="12.75" customHeight="1">
      <c r="D31" s="28"/>
      <c r="H31" s="1" t="s">
        <v>955</v>
      </c>
      <c r="I31" s="1" t="s">
        <v>956</v>
      </c>
      <c r="J31" s="1">
        <v>0.7255</v>
      </c>
      <c r="K31" s="1" t="s">
        <v>957</v>
      </c>
    </row>
    <row r="32" spans="1:5" ht="12.75" customHeight="1">
      <c r="A32" s="1" t="s">
        <v>958</v>
      </c>
      <c r="B32" s="1">
        <v>1160</v>
      </c>
      <c r="C32" s="1">
        <v>0.6841</v>
      </c>
      <c r="D32" s="28">
        <f>C32*(1+D$3)</f>
        <v>0.7609928400000001</v>
      </c>
      <c r="E32" s="19">
        <f>(D32*(1+E$3))</f>
        <v>0.8294821956000001</v>
      </c>
    </row>
    <row r="33" ht="12.75" customHeight="1">
      <c r="D33" s="28"/>
    </row>
    <row r="34" spans="1:5" ht="12.75" customHeight="1">
      <c r="A34" s="35" t="s">
        <v>959</v>
      </c>
      <c r="B34" s="1">
        <v>1177</v>
      </c>
      <c r="C34" s="1">
        <v>0.7375</v>
      </c>
      <c r="D34" s="28">
        <f>C34*(1+D$3)</f>
        <v>0.8203950000000001</v>
      </c>
      <c r="E34" s="19">
        <f>(D34*(1+E$3))</f>
        <v>0.8942305500000002</v>
      </c>
    </row>
    <row r="35" ht="12.75" customHeight="1">
      <c r="D35" s="28"/>
    </row>
    <row r="36" spans="1:13" ht="12.75" customHeight="1">
      <c r="A36" s="1" t="s">
        <v>960</v>
      </c>
      <c r="B36" s="92">
        <v>1191</v>
      </c>
      <c r="C36" s="48">
        <v>0.7183</v>
      </c>
      <c r="D36" s="28">
        <f>C36*(1+D$3)</f>
        <v>0.7990369200000002</v>
      </c>
      <c r="E36" s="19">
        <f>(D36*(1+E$3))</f>
        <v>0.8709502428000002</v>
      </c>
      <c r="H36" s="1" t="s">
        <v>914</v>
      </c>
      <c r="I36" s="1" t="s">
        <v>961</v>
      </c>
      <c r="J36" s="1">
        <v>0.1431</v>
      </c>
      <c r="K36" s="1">
        <v>0.1431</v>
      </c>
      <c r="L36" s="19">
        <f>((K36/J36)-1)*100</f>
        <v>0</v>
      </c>
      <c r="M36" s="1" t="s">
        <v>962</v>
      </c>
    </row>
    <row r="37" spans="2:4" ht="12.75" customHeight="1">
      <c r="B37" s="92"/>
      <c r="D37" s="28"/>
    </row>
    <row r="38" spans="1:11" ht="12.75" customHeight="1">
      <c r="A38" s="1" t="s">
        <v>963</v>
      </c>
      <c r="B38" s="97" t="s">
        <v>964</v>
      </c>
      <c r="C38" s="48">
        <v>2.325</v>
      </c>
      <c r="D38" s="28">
        <f>C38*(1+D$3)</f>
        <v>2.5863300000000002</v>
      </c>
      <c r="E38" s="19">
        <f>(D38*(1+E$3))</f>
        <v>2.8190997000000007</v>
      </c>
      <c r="I38" s="1" t="s">
        <v>965</v>
      </c>
      <c r="K38" s="1">
        <v>4.7904</v>
      </c>
    </row>
    <row r="39" spans="2:4" ht="12.75" customHeight="1">
      <c r="B39" s="92"/>
      <c r="D39" s="28"/>
    </row>
    <row r="40" spans="1:11" ht="12.75" customHeight="1">
      <c r="A40" s="1" t="s">
        <v>966</v>
      </c>
      <c r="B40" s="97" t="s">
        <v>967</v>
      </c>
      <c r="C40" s="48">
        <v>1.9367</v>
      </c>
      <c r="D40" s="28">
        <f>C40*(1+D$3)</f>
        <v>2.1543850800000004</v>
      </c>
      <c r="E40" s="19">
        <f>(D40*(1+E$3))</f>
        <v>2.3482797372000004</v>
      </c>
      <c r="I40" s="1" t="s">
        <v>968</v>
      </c>
      <c r="J40" s="1">
        <v>3.3313</v>
      </c>
      <c r="K40" s="1">
        <v>4.0816</v>
      </c>
    </row>
    <row r="41" spans="2:4" ht="12.75" customHeight="1">
      <c r="B41" s="92"/>
      <c r="D41" s="28"/>
    </row>
    <row r="42" spans="1:12" ht="12.75" customHeight="1">
      <c r="A42" s="1" t="s">
        <v>969</v>
      </c>
      <c r="B42" s="92">
        <v>1246</v>
      </c>
      <c r="C42" s="1">
        <v>0.14070000000000002</v>
      </c>
      <c r="D42" s="28">
        <f>C42*(1+D$3)</f>
        <v>0.15651468000000002</v>
      </c>
      <c r="E42" s="19">
        <f>(D42*(1+E$3))</f>
        <v>0.17060100120000002</v>
      </c>
      <c r="H42" s="1" t="s">
        <v>970</v>
      </c>
      <c r="I42" s="1" t="s">
        <v>971</v>
      </c>
      <c r="J42" s="1">
        <v>0.3962</v>
      </c>
      <c r="K42" s="1">
        <v>0.3962</v>
      </c>
      <c r="L42" s="19">
        <f>((K42/J42)-1)*100</f>
        <v>0</v>
      </c>
    </row>
    <row r="43" spans="1:4" ht="12.75" customHeight="1">
      <c r="A43" s="1" t="s">
        <v>972</v>
      </c>
      <c r="B43" s="92"/>
      <c r="D43" s="28"/>
    </row>
    <row r="44" spans="1:5" ht="12.75" customHeight="1">
      <c r="A44" s="1" t="s">
        <v>973</v>
      </c>
      <c r="B44" s="97" t="s">
        <v>974</v>
      </c>
      <c r="C44" s="1">
        <v>0.856</v>
      </c>
      <c r="D44" s="28">
        <f>C44*(1+D$3)</f>
        <v>0.9522144</v>
      </c>
      <c r="E44" s="19">
        <f>(D44*(1+E$3))</f>
        <v>1.0379136960000002</v>
      </c>
    </row>
    <row r="45" spans="1:4" ht="12.75" customHeight="1">
      <c r="A45" s="1" t="s">
        <v>975</v>
      </c>
      <c r="B45" s="92"/>
      <c r="D45" s="28"/>
    </row>
    <row r="46" spans="2:4" ht="12.75" customHeight="1">
      <c r="B46" s="92"/>
      <c r="D46" s="28"/>
    </row>
    <row r="47" spans="1:9" ht="12.75" customHeight="1">
      <c r="A47" s="1" t="s">
        <v>976</v>
      </c>
      <c r="B47" s="97" t="s">
        <v>977</v>
      </c>
      <c r="C47" s="1">
        <v>2.078</v>
      </c>
      <c r="D47" s="28">
        <f>C47*(1+D$3)</f>
        <v>2.3115672</v>
      </c>
      <c r="E47" s="19">
        <f>(D47*(1+E$3))</f>
        <v>2.519608248</v>
      </c>
      <c r="I47" s="1" t="s">
        <v>978</v>
      </c>
    </row>
    <row r="48" spans="2:4" ht="12.75" customHeight="1">
      <c r="B48" s="92"/>
      <c r="D48" s="28"/>
    </row>
    <row r="49" spans="1:13" ht="12.75" customHeight="1">
      <c r="A49" s="1" t="s">
        <v>979</v>
      </c>
      <c r="B49" s="92">
        <v>1320</v>
      </c>
      <c r="C49" s="1">
        <v>0.5091</v>
      </c>
      <c r="D49" s="28">
        <f>C49*(1+D$3)</f>
        <v>0.56632284</v>
      </c>
      <c r="E49" s="19">
        <f>(D49*(1+E$3))</f>
        <v>0.6172918956000001</v>
      </c>
      <c r="F49" s="1" t="s">
        <v>980</v>
      </c>
      <c r="H49" s="1" t="s">
        <v>919</v>
      </c>
      <c r="I49" s="1" t="s">
        <v>981</v>
      </c>
      <c r="J49" s="1">
        <v>0.4829</v>
      </c>
      <c r="K49" s="1">
        <v>0.4829</v>
      </c>
      <c r="L49" s="19">
        <f>((K49/J49)-1)*100</f>
        <v>0</v>
      </c>
      <c r="M49" s="1" t="s">
        <v>982</v>
      </c>
    </row>
    <row r="50" spans="1:4" ht="12.75" customHeight="1">
      <c r="A50" s="1" t="s">
        <v>983</v>
      </c>
      <c r="B50" s="92"/>
      <c r="D50" s="28"/>
    </row>
    <row r="51" spans="1:13" ht="12.75" customHeight="1">
      <c r="A51" s="1" t="s">
        <v>984</v>
      </c>
      <c r="B51" s="97" t="s">
        <v>985</v>
      </c>
      <c r="C51" s="1">
        <v>0.5758</v>
      </c>
      <c r="D51" s="28">
        <f>C51*(1+D$3)</f>
        <v>0.64051992</v>
      </c>
      <c r="E51" s="19">
        <f>(D51*(1+E$3))</f>
        <v>0.6981667128000001</v>
      </c>
      <c r="I51" s="1" t="s">
        <v>986</v>
      </c>
      <c r="J51" s="1">
        <v>0.1067</v>
      </c>
      <c r="K51" s="1">
        <v>0.1067</v>
      </c>
      <c r="L51" s="19">
        <f>((K51/J51)-1)*100</f>
        <v>0</v>
      </c>
      <c r="M51" s="1" t="s">
        <v>987</v>
      </c>
    </row>
    <row r="52" spans="2:4" ht="12.75" customHeight="1">
      <c r="B52" s="92"/>
      <c r="D52" s="28"/>
    </row>
    <row r="53" spans="1:12" ht="12.75" customHeight="1">
      <c r="A53" s="1" t="s">
        <v>988</v>
      </c>
      <c r="B53" s="92">
        <v>1348</v>
      </c>
      <c r="C53" s="1">
        <v>0.5083</v>
      </c>
      <c r="D53" s="28">
        <f>C53*(1+D$3)</f>
        <v>0.56543292</v>
      </c>
      <c r="E53" s="19">
        <f>(D53*(1+E$3))</f>
        <v>0.6163218828</v>
      </c>
      <c r="F53" s="1" t="s">
        <v>989</v>
      </c>
      <c r="H53" s="1" t="s">
        <v>990</v>
      </c>
      <c r="I53" s="1" t="s">
        <v>991</v>
      </c>
      <c r="J53" s="1">
        <v>0.39740000000000003</v>
      </c>
      <c r="K53" s="1">
        <v>0.39740000000000003</v>
      </c>
      <c r="L53" s="19">
        <f>((K53/J53)-1)*100</f>
        <v>0</v>
      </c>
    </row>
    <row r="54" spans="2:4" ht="12.75" customHeight="1">
      <c r="B54" s="92"/>
      <c r="D54" s="28"/>
    </row>
    <row r="55" spans="1:15" ht="12.75" customHeight="1">
      <c r="A55" s="1" t="s">
        <v>992</v>
      </c>
      <c r="B55" s="92">
        <v>1357</v>
      </c>
      <c r="C55" s="1">
        <v>0.13720000000000002</v>
      </c>
      <c r="D55" s="28">
        <f>C55*(1+D$3)</f>
        <v>0.15262128000000003</v>
      </c>
      <c r="E55" s="19">
        <f>(D55*(1+E$3))</f>
        <v>0.16635719520000003</v>
      </c>
      <c r="F55" s="1" t="s">
        <v>993</v>
      </c>
      <c r="H55" s="1" t="s">
        <v>994</v>
      </c>
      <c r="I55" s="1" t="s">
        <v>995</v>
      </c>
      <c r="J55" s="1">
        <v>2.0933</v>
      </c>
      <c r="K55" s="1">
        <v>3.0298</v>
      </c>
      <c r="L55" s="19">
        <f>((K55/J55)-1)*100</f>
        <v>44.7379735346104</v>
      </c>
      <c r="M55" s="1" t="s">
        <v>996</v>
      </c>
      <c r="O55" s="1" t="s">
        <v>997</v>
      </c>
    </row>
    <row r="56" spans="2:4" ht="12.75" customHeight="1">
      <c r="B56" s="92"/>
      <c r="D56" s="28"/>
    </row>
    <row r="57" spans="1:13" ht="12.75" customHeight="1">
      <c r="A57" s="1" t="s">
        <v>998</v>
      </c>
      <c r="B57" s="92">
        <v>1382</v>
      </c>
      <c r="C57" s="1">
        <v>1.3991</v>
      </c>
      <c r="D57" s="28">
        <f>C57*(1+D$3)</f>
        <v>1.5563588400000001</v>
      </c>
      <c r="E57" s="19">
        <f>(D57*(1+E$3))</f>
        <v>1.6964311356000004</v>
      </c>
      <c r="F57" s="1" t="s">
        <v>999</v>
      </c>
      <c r="H57" s="1" t="s">
        <v>1000</v>
      </c>
      <c r="I57" s="1" t="s">
        <v>1001</v>
      </c>
      <c r="J57" s="1">
        <v>0.856</v>
      </c>
      <c r="K57" s="1">
        <v>0.856</v>
      </c>
      <c r="L57" s="19">
        <f>((K57/J57)-1)*100</f>
        <v>0</v>
      </c>
      <c r="M57" s="1" t="s">
        <v>1002</v>
      </c>
    </row>
    <row r="58" spans="2:4" ht="12.75" customHeight="1">
      <c r="B58" s="92"/>
      <c r="D58" s="28"/>
    </row>
    <row r="59" spans="1:13" ht="12.75" customHeight="1">
      <c r="A59" s="1" t="s">
        <v>998</v>
      </c>
      <c r="B59" s="92">
        <v>1384</v>
      </c>
      <c r="C59" s="1">
        <v>0.21050000000000002</v>
      </c>
      <c r="D59" s="28">
        <f>C59*(1+D$3)</f>
        <v>0.23416020000000004</v>
      </c>
      <c r="E59" s="19">
        <f>(D59*(1+E$3))</f>
        <v>0.2552346180000001</v>
      </c>
      <c r="H59" s="1" t="s">
        <v>1000</v>
      </c>
      <c r="I59" s="1" t="s">
        <v>1003</v>
      </c>
      <c r="J59" s="1">
        <v>0.856</v>
      </c>
      <c r="K59" s="1">
        <v>0.856</v>
      </c>
      <c r="L59" s="19">
        <f>((K59/J59)-1)*100</f>
        <v>0</v>
      </c>
      <c r="M59" s="1" t="s">
        <v>1004</v>
      </c>
    </row>
    <row r="60" spans="1:2" ht="12.75" customHeight="1">
      <c r="A60" s="1" t="s">
        <v>1005</v>
      </c>
      <c r="B60" s="92"/>
    </row>
    <row r="61" spans="2:10" ht="14.25" customHeight="1">
      <c r="B61" s="92">
        <v>1394</v>
      </c>
      <c r="C61" s="48" t="s">
        <v>1006</v>
      </c>
      <c r="D61" s="48" t="s">
        <v>1006</v>
      </c>
      <c r="E61" s="19"/>
      <c r="H61" s="1" t="s">
        <v>1007</v>
      </c>
      <c r="I61" s="1" t="s">
        <v>1008</v>
      </c>
      <c r="J61" s="1">
        <v>1.12</v>
      </c>
    </row>
    <row r="62" ht="12.75" customHeight="1">
      <c r="B62" s="92"/>
    </row>
    <row r="63" spans="1:5" ht="12.75" customHeight="1">
      <c r="A63" s="1" t="s">
        <v>1009</v>
      </c>
      <c r="B63" s="97" t="s">
        <v>1010</v>
      </c>
      <c r="C63" s="1">
        <v>0.9178000000000001</v>
      </c>
      <c r="D63" s="28">
        <f>C63*(1+D$3)</f>
        <v>1.0209607200000002</v>
      </c>
      <c r="E63" s="19">
        <f>(D63*(1+E$3))</f>
        <v>1.1128471848000003</v>
      </c>
    </row>
    <row r="64" ht="12.75" customHeight="1">
      <c r="B64" s="92"/>
    </row>
    <row r="65" spans="1:6" ht="12.75" customHeight="1">
      <c r="A65" s="1" t="s">
        <v>1011</v>
      </c>
      <c r="B65" s="92">
        <v>1446</v>
      </c>
      <c r="C65" s="1">
        <v>0.5171</v>
      </c>
      <c r="D65" s="28">
        <f>C65*(1+D$3)</f>
        <v>0.57522204</v>
      </c>
      <c r="E65" s="19">
        <f>(D65*(1+E$3))</f>
        <v>0.6269920236000001</v>
      </c>
      <c r="F65" s="1" t="s">
        <v>1012</v>
      </c>
    </row>
    <row r="66" ht="12.75" customHeight="1">
      <c r="B66" s="92"/>
    </row>
    <row r="67" spans="1:5" ht="12.75" customHeight="1">
      <c r="A67" s="1" t="s">
        <v>1013</v>
      </c>
      <c r="B67" s="97" t="s">
        <v>1014</v>
      </c>
      <c r="C67" s="1">
        <v>0.9207000000000001</v>
      </c>
      <c r="D67" s="28">
        <f>C67*(1+D$3)</f>
        <v>1.0241866800000001</v>
      </c>
      <c r="E67" s="19">
        <f>(D67*(1+E$3))</f>
        <v>1.1163634812000003</v>
      </c>
    </row>
    <row r="68" ht="12.75" customHeight="1">
      <c r="B68" s="92"/>
    </row>
    <row r="69" spans="1:6" ht="12.75" customHeight="1">
      <c r="A69" s="1" t="s">
        <v>1015</v>
      </c>
      <c r="B69" s="97" t="s">
        <v>1016</v>
      </c>
      <c r="C69" s="1">
        <v>0.359</v>
      </c>
      <c r="D69" s="28">
        <f>C69*(1+D$3)</f>
        <v>0.39935160000000003</v>
      </c>
      <c r="E69" s="19">
        <f>(D69*(1+E$3))</f>
        <v>0.4352932440000001</v>
      </c>
      <c r="F69" s="1" t="s">
        <v>1017</v>
      </c>
    </row>
    <row r="70" spans="1:2" ht="12.75" customHeight="1">
      <c r="A70" s="1" t="s">
        <v>1018</v>
      </c>
      <c r="B70" s="92"/>
    </row>
    <row r="71" spans="1:5" ht="12.75" customHeight="1">
      <c r="A71" s="1" t="s">
        <v>1019</v>
      </c>
      <c r="B71" s="92">
        <v>1486</v>
      </c>
      <c r="C71" s="1">
        <v>1.0141</v>
      </c>
      <c r="D71" s="28">
        <f>C71*(1+D$3)</f>
        <v>1.12808484</v>
      </c>
      <c r="E71" s="19">
        <f>(D71*(1+E$3))</f>
        <v>1.2296124756000002</v>
      </c>
    </row>
    <row r="72" spans="2:5" ht="12.75" customHeight="1">
      <c r="B72" s="92"/>
      <c r="D72" s="28"/>
      <c r="E72" s="19"/>
    </row>
    <row r="73" spans="1:5" ht="12.75" customHeight="1">
      <c r="A73" s="35" t="s">
        <v>1020</v>
      </c>
      <c r="B73" s="97" t="s">
        <v>1021</v>
      </c>
      <c r="C73" s="1">
        <v>0.5973</v>
      </c>
      <c r="D73" s="28">
        <f>C73*(1+D$3)</f>
        <v>0.6644365200000001</v>
      </c>
      <c r="E73" s="19">
        <f>(D73*(1+E$3))</f>
        <v>0.7242358068000001</v>
      </c>
    </row>
    <row r="74" ht="12.75" customHeight="1">
      <c r="B74" s="92"/>
    </row>
    <row r="75" spans="1:6" ht="12.75" customHeight="1">
      <c r="A75" s="1" t="s">
        <v>1022</v>
      </c>
      <c r="B75" s="97" t="s">
        <v>1023</v>
      </c>
      <c r="C75" s="1">
        <v>0.49610000000000004</v>
      </c>
      <c r="D75" s="28">
        <f>C75*(1+D$3)</f>
        <v>0.55186164</v>
      </c>
      <c r="E75" s="19">
        <f>(D75*(1+E$3))</f>
        <v>0.6015291876000001</v>
      </c>
      <c r="F75" s="1" t="s">
        <v>1024</v>
      </c>
    </row>
    <row r="76" ht="12.75" customHeight="1">
      <c r="B76" s="92"/>
    </row>
    <row r="77" spans="1:6" ht="12.75" customHeight="1">
      <c r="A77" s="1" t="s">
        <v>1025</v>
      </c>
      <c r="B77" s="97" t="s">
        <v>1026</v>
      </c>
      <c r="C77" s="1">
        <v>0.6722</v>
      </c>
      <c r="D77" s="28">
        <f>C77*(1+D$3)</f>
        <v>0.74775528</v>
      </c>
      <c r="E77" s="19">
        <f>(D77*(1+E$3))</f>
        <v>0.8150532552</v>
      </c>
      <c r="F77" s="1" t="s">
        <v>1024</v>
      </c>
    </row>
    <row r="78" ht="12.75" customHeight="1">
      <c r="B78" s="92"/>
    </row>
    <row r="79" spans="1:6" ht="12.75" customHeight="1">
      <c r="A79" s="1" t="s">
        <v>1027</v>
      </c>
      <c r="B79" s="92">
        <v>3010</v>
      </c>
      <c r="C79" s="1">
        <v>0.516</v>
      </c>
      <c r="D79" s="28">
        <f>C79*(1+D$3)</f>
        <v>0.5739984</v>
      </c>
      <c r="E79" s="19">
        <f>(D79*(1+E$3))</f>
        <v>0.625658256</v>
      </c>
      <c r="F79" s="1" t="s">
        <v>1028</v>
      </c>
    </row>
    <row r="80" ht="12.75" customHeight="1">
      <c r="B80" s="92"/>
    </row>
    <row r="81" spans="1:6" ht="12.75" customHeight="1">
      <c r="A81" s="1" t="s">
        <v>1029</v>
      </c>
      <c r="B81" s="92">
        <v>3011</v>
      </c>
      <c r="C81" s="1">
        <v>0.6047</v>
      </c>
      <c r="D81" s="28">
        <f>C81*(1+D$3)</f>
        <v>0.67266828</v>
      </c>
      <c r="E81" s="19">
        <f>(D81*(1+E$3))</f>
        <v>0.7332084252000001</v>
      </c>
      <c r="F81" s="1" t="s">
        <v>1028</v>
      </c>
    </row>
    <row r="82" ht="12.75"/>
    <row r="83" spans="1:5" ht="12.75" customHeight="1">
      <c r="A83" s="1" t="s">
        <v>1030</v>
      </c>
      <c r="B83" s="97" t="s">
        <v>1031</v>
      </c>
      <c r="C83" s="1">
        <v>0.5772</v>
      </c>
      <c r="D83" s="28">
        <f>C83*(1+D$3)</f>
        <v>0.6420772800000001</v>
      </c>
      <c r="E83" s="19">
        <f>(D83*(1+E$3))</f>
        <v>0.6998642352000002</v>
      </c>
    </row>
    <row r="85" spans="1:5" ht="12.75" customHeight="1">
      <c r="A85" s="1" t="s">
        <v>1032</v>
      </c>
      <c r="B85" s="1">
        <v>3016</v>
      </c>
      <c r="C85" s="1">
        <v>0.7421</v>
      </c>
      <c r="D85" s="28">
        <f>C85*(1+D$3)</f>
        <v>0.82551204</v>
      </c>
      <c r="E85" s="19">
        <f>(D85*(1+E$3))</f>
        <v>0.8998081236000001</v>
      </c>
    </row>
    <row r="87" spans="1:5" ht="12.75" customHeight="1">
      <c r="A87" s="1" t="s">
        <v>1033</v>
      </c>
      <c r="B87" s="1">
        <v>3018</v>
      </c>
      <c r="C87" s="1">
        <v>1.0441</v>
      </c>
      <c r="D87" s="28">
        <f>C87*(1+D$3)</f>
        <v>1.16145684</v>
      </c>
      <c r="E87" s="19">
        <f>(D87*(1+E$3))</f>
        <v>1.2659879556000002</v>
      </c>
    </row>
    <row r="89" spans="1:5" ht="12.75" customHeight="1">
      <c r="A89" s="1" t="s">
        <v>1034</v>
      </c>
      <c r="B89" s="1">
        <v>3020</v>
      </c>
      <c r="C89" s="1">
        <v>3.5434</v>
      </c>
      <c r="D89" s="28">
        <f>C89*(1+D$3)</f>
        <v>3.9416781600000004</v>
      </c>
      <c r="E89" s="19">
        <f>(D89*(1+E$3))</f>
        <v>4.296429194400001</v>
      </c>
    </row>
    <row r="90" ht="12.75"/>
    <row r="91" spans="1:5" ht="12.75" customHeight="1">
      <c r="A91" s="1" t="s">
        <v>1035</v>
      </c>
      <c r="B91" s="1">
        <v>3019</v>
      </c>
      <c r="C91" s="1">
        <v>1.8978000000000002</v>
      </c>
      <c r="D91" s="28">
        <f>C91*(1+D$3)</f>
        <v>2.1111127200000004</v>
      </c>
      <c r="E91" s="19">
        <f>(D91*(1+E$3))</f>
        <v>2.3011128648000008</v>
      </c>
    </row>
    <row r="92" ht="12.75"/>
    <row r="93" spans="1:5" ht="12.75" customHeight="1">
      <c r="A93" s="1" t="s">
        <v>1036</v>
      </c>
      <c r="B93" s="1">
        <v>3023</v>
      </c>
      <c r="C93" s="1">
        <v>1.8888</v>
      </c>
      <c r="D93" s="28">
        <f>C93*(1+D$3)</f>
        <v>2.10110112</v>
      </c>
      <c r="E93" s="19">
        <f>(D93*(1+E$3))</f>
        <v>2.2902002208</v>
      </c>
    </row>
    <row r="94" ht="12.75"/>
    <row r="95" spans="1:6" ht="12.75" customHeight="1">
      <c r="A95" s="1" t="s">
        <v>1037</v>
      </c>
      <c r="B95" s="92">
        <v>3027</v>
      </c>
      <c r="C95" s="1">
        <v>1.1755</v>
      </c>
      <c r="D95" s="28">
        <f>C95*(1+D$3)</f>
        <v>1.3076262</v>
      </c>
      <c r="E95" s="19">
        <f>(D95*(1+E$3))</f>
        <v>1.4253125580000001</v>
      </c>
      <c r="F95" s="1" t="s">
        <v>1038</v>
      </c>
    </row>
    <row r="96" ht="12.75"/>
    <row r="97" spans="1:5" ht="12.75" customHeight="1">
      <c r="A97" s="1" t="s">
        <v>1039</v>
      </c>
      <c r="B97" s="1">
        <v>3028</v>
      </c>
      <c r="C97" s="1">
        <v>1.6426</v>
      </c>
      <c r="D97" s="28">
        <f>C97*(1+D$3)</f>
        <v>1.8272282400000002</v>
      </c>
      <c r="E97" s="19">
        <f>(D97*(1+E$3))</f>
        <v>1.9916787816000003</v>
      </c>
    </row>
    <row r="99" spans="1:9" ht="12.75" customHeight="1">
      <c r="A99" s="1" t="s">
        <v>1040</v>
      </c>
      <c r="B99" s="1" t="s">
        <v>1041</v>
      </c>
      <c r="C99" s="1" t="s">
        <v>1042</v>
      </c>
      <c r="E99" s="1" t="s">
        <v>1043</v>
      </c>
      <c r="H99" s="1" t="s">
        <v>1044</v>
      </c>
      <c r="I99" s="1">
        <v>0.648</v>
      </c>
    </row>
    <row r="100" ht="12.75"/>
    <row r="101" spans="1:9" ht="12.75" customHeight="1">
      <c r="A101" s="1" t="s">
        <v>1045</v>
      </c>
      <c r="B101" s="1" t="s">
        <v>1046</v>
      </c>
      <c r="C101" s="1" t="s">
        <v>1047</v>
      </c>
      <c r="E101" s="1" t="s">
        <v>1048</v>
      </c>
      <c r="H101" s="1" t="s">
        <v>1049</v>
      </c>
      <c r="I101" s="1">
        <v>1.6709</v>
      </c>
    </row>
    <row r="102" ht="12.75"/>
    <row r="103" spans="1:9" ht="12.75" customHeight="1">
      <c r="A103" s="1" t="s">
        <v>1050</v>
      </c>
      <c r="B103" s="1" t="s">
        <v>1051</v>
      </c>
      <c r="C103" s="1" t="s">
        <v>1052</v>
      </c>
      <c r="E103" s="1" t="s">
        <v>1053</v>
      </c>
      <c r="H103" s="1" t="s">
        <v>1054</v>
      </c>
      <c r="I103" s="1">
        <v>1.0842</v>
      </c>
    </row>
    <row r="104" ht="12.75"/>
    <row r="105" spans="1:9" ht="12.75" customHeight="1">
      <c r="A105" s="1" t="s">
        <v>1055</v>
      </c>
      <c r="B105" s="1" t="s">
        <v>1056</v>
      </c>
      <c r="C105" s="1" t="s">
        <v>1057</v>
      </c>
      <c r="E105" s="1" t="s">
        <v>1058</v>
      </c>
      <c r="H105" s="1" t="s">
        <v>1059</v>
      </c>
      <c r="I105" s="1">
        <v>0.2343</v>
      </c>
    </row>
    <row r="107" spans="1:9" ht="12.75" customHeight="1">
      <c r="A107" s="1" t="s">
        <v>1060</v>
      </c>
      <c r="B107" s="1" t="s">
        <v>1061</v>
      </c>
      <c r="C107" s="1" t="s">
        <v>1062</v>
      </c>
      <c r="E107" s="1" t="s">
        <v>1063</v>
      </c>
      <c r="H107" s="1" t="s">
        <v>1064</v>
      </c>
      <c r="I107" s="1">
        <v>0.5537000000000001</v>
      </c>
    </row>
    <row r="148" ht="12.75"/>
    <row r="149" ht="12.75"/>
    <row r="150" ht="12.75"/>
    <row r="159" ht="12.75"/>
    <row r="160" ht="12.75"/>
    <row r="161" ht="12.75"/>
    <row r="184" ht="12.75"/>
    <row r="185" ht="12.75"/>
    <row r="186" ht="12.75"/>
    <row r="190" ht="12.75"/>
    <row r="191" ht="12.75"/>
    <row r="192" ht="12.75"/>
    <row r="206" ht="12.75"/>
    <row r="207" ht="12.75"/>
    <row r="208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81"/>
  <sheetViews>
    <sheetView zoomScaleSheetLayoutView="10" workbookViewId="0" topLeftCell="A40">
      <selection activeCell="E82" sqref="E82"/>
    </sheetView>
  </sheetViews>
  <sheetFormatPr defaultColWidth="11.421875" defaultRowHeight="12.75"/>
  <cols>
    <col min="1" max="1" width="11.421875" style="1" customWidth="1"/>
    <col min="2" max="2" width="12.57421875" style="1" customWidth="1"/>
    <col min="3" max="3" width="11.421875" style="1" customWidth="1"/>
    <col min="4" max="4" width="12.28125" style="1" customWidth="1"/>
    <col min="5" max="7" width="11.421875" style="1" customWidth="1"/>
    <col min="8" max="9" width="15.8515625" style="1" customWidth="1"/>
    <col min="10" max="10" width="11.421875" style="1" customWidth="1"/>
    <col min="11" max="12" width="13.8515625" style="1" customWidth="1"/>
    <col min="13" max="13" width="17.57421875" style="1" customWidth="1"/>
    <col min="14" max="16384" width="11.421875" style="1" customWidth="1"/>
  </cols>
  <sheetData>
    <row r="1" ht="12.75"/>
    <row r="2" spans="1:12" ht="12.75" customHeight="1">
      <c r="A2" s="98" t="s">
        <v>1065</v>
      </c>
      <c r="B2" s="98"/>
      <c r="C2" s="1" t="s">
        <v>1066</v>
      </c>
      <c r="J2" s="98" t="s">
        <v>1065</v>
      </c>
      <c r="K2" s="98"/>
      <c r="L2" s="1" t="s">
        <v>1067</v>
      </c>
    </row>
    <row r="3" spans="1:17" ht="12.75" customHeight="1">
      <c r="A3" s="99" t="s">
        <v>8</v>
      </c>
      <c r="B3" s="99" t="s">
        <v>1068</v>
      </c>
      <c r="C3" s="99" t="s">
        <v>1069</v>
      </c>
      <c r="D3" s="99" t="s">
        <v>1070</v>
      </c>
      <c r="E3" s="99" t="s">
        <v>1071</v>
      </c>
      <c r="F3" s="100" t="s">
        <v>1072</v>
      </c>
      <c r="G3" s="100" t="s">
        <v>1073</v>
      </c>
      <c r="H3" s="100" t="s">
        <v>1074</v>
      </c>
      <c r="J3" s="99" t="s">
        <v>8</v>
      </c>
      <c r="K3" s="99" t="s">
        <v>1068</v>
      </c>
      <c r="L3" s="99" t="s">
        <v>1069</v>
      </c>
      <c r="M3" s="99" t="s">
        <v>1070</v>
      </c>
      <c r="N3" s="99" t="s">
        <v>1071</v>
      </c>
      <c r="O3" s="100" t="s">
        <v>1072</v>
      </c>
      <c r="P3" s="100" t="s">
        <v>1073</v>
      </c>
      <c r="Q3" s="100" t="s">
        <v>1074</v>
      </c>
    </row>
    <row r="4" ht="12.75" customHeight="1">
      <c r="F4" s="43"/>
    </row>
    <row r="5" spans="1:17" ht="12.75" customHeight="1">
      <c r="A5" s="1">
        <v>71</v>
      </c>
      <c r="B5" s="1" t="s">
        <v>1075</v>
      </c>
      <c r="C5" s="79">
        <v>1.134</v>
      </c>
      <c r="D5" s="1">
        <f>C5*0.93</f>
        <v>1.05462</v>
      </c>
      <c r="E5" s="1">
        <v>0.5</v>
      </c>
      <c r="F5" s="43" t="s">
        <v>1076</v>
      </c>
      <c r="G5" s="1">
        <v>0.51</v>
      </c>
      <c r="H5" s="77">
        <f>C5/G5-1</f>
        <v>1.2235294117647055</v>
      </c>
      <c r="J5" s="1">
        <v>71</v>
      </c>
      <c r="L5" s="79"/>
      <c r="M5" s="1">
        <f>L5/D54</f>
        <v>0</v>
      </c>
      <c r="P5" s="1">
        <f>0.68*0.93</f>
        <v>0.6324000000000001</v>
      </c>
      <c r="Q5" s="77">
        <f>L5/P5-1</f>
        <v>-1</v>
      </c>
    </row>
    <row r="6" spans="3:12" ht="12.75" customHeight="1">
      <c r="C6" s="79"/>
      <c r="F6" s="43"/>
      <c r="L6" s="79"/>
    </row>
    <row r="7" spans="1:17" ht="12.75" customHeight="1">
      <c r="A7" s="1">
        <v>72</v>
      </c>
      <c r="B7" s="1" t="s">
        <v>1077</v>
      </c>
      <c r="C7" s="79">
        <v>1.214</v>
      </c>
      <c r="D7" s="1">
        <f>C7*0.93</f>
        <v>1.1290200000000001</v>
      </c>
      <c r="E7" s="1">
        <v>0.48</v>
      </c>
      <c r="F7" s="43" t="s">
        <v>1076</v>
      </c>
      <c r="G7" s="1">
        <v>0.49</v>
      </c>
      <c r="H7" s="77">
        <f>C7/G7-1</f>
        <v>1.4775510204081632</v>
      </c>
      <c r="J7" s="1">
        <v>72</v>
      </c>
      <c r="K7" s="56" t="s">
        <v>1078</v>
      </c>
      <c r="L7" s="79">
        <v>0.91</v>
      </c>
      <c r="P7" s="1">
        <v>0.8</v>
      </c>
      <c r="Q7" s="77">
        <f>L7/P7-1</f>
        <v>0.13749999999999996</v>
      </c>
    </row>
    <row r="8" spans="3:12" ht="12.75" customHeight="1">
      <c r="C8" s="79"/>
      <c r="F8" s="43"/>
      <c r="L8" s="79"/>
    </row>
    <row r="9" spans="1:17" ht="12.75" customHeight="1">
      <c r="A9" s="1">
        <v>73</v>
      </c>
      <c r="B9" s="1" t="s">
        <v>1079</v>
      </c>
      <c r="C9" s="79">
        <v>1.332</v>
      </c>
      <c r="F9" s="43"/>
      <c r="G9" s="1">
        <v>0.74</v>
      </c>
      <c r="H9" s="77">
        <f>C9/G9-1</f>
        <v>0.8</v>
      </c>
      <c r="J9" s="1">
        <v>73</v>
      </c>
      <c r="L9" s="79"/>
      <c r="Q9" s="77"/>
    </row>
    <row r="10" spans="3:12" ht="12.75" customHeight="1">
      <c r="C10" s="79"/>
      <c r="F10" s="43"/>
      <c r="L10" s="79"/>
    </row>
    <row r="11" spans="1:17" ht="12.75" customHeight="1">
      <c r="A11" s="1">
        <v>105</v>
      </c>
      <c r="B11" s="1" t="s">
        <v>1080</v>
      </c>
      <c r="C11" s="79">
        <v>1.001</v>
      </c>
      <c r="D11" s="1">
        <f>C11*0.93</f>
        <v>0.9309299999999999</v>
      </c>
      <c r="E11" s="1">
        <v>0.46</v>
      </c>
      <c r="F11" s="43" t="s">
        <v>1076</v>
      </c>
      <c r="G11" s="1">
        <v>0.47</v>
      </c>
      <c r="H11" s="77">
        <f>C11/G11-1</f>
        <v>1.1297872340425532</v>
      </c>
      <c r="J11" s="1">
        <v>105</v>
      </c>
      <c r="L11" s="79"/>
      <c r="Q11" s="77"/>
    </row>
    <row r="12" spans="3:12" ht="12.75" customHeight="1">
      <c r="C12" s="79"/>
      <c r="F12" s="43"/>
      <c r="L12" s="79"/>
    </row>
    <row r="13" spans="1:17" ht="12.75" customHeight="1">
      <c r="A13" s="1">
        <v>115</v>
      </c>
      <c r="B13" s="1" t="s">
        <v>1081</v>
      </c>
      <c r="C13" s="79">
        <v>1.203</v>
      </c>
      <c r="D13" s="1">
        <f>C13*0.93</f>
        <v>1.1187900000000002</v>
      </c>
      <c r="E13" s="1">
        <v>0.5</v>
      </c>
      <c r="F13" s="43" t="s">
        <v>1076</v>
      </c>
      <c r="G13" s="1">
        <v>0.52</v>
      </c>
      <c r="H13" s="77">
        <f>C13/G13-1</f>
        <v>1.3134615384615387</v>
      </c>
      <c r="J13" s="1">
        <v>115</v>
      </c>
      <c r="K13" s="56" t="s">
        <v>1082</v>
      </c>
      <c r="L13" s="79">
        <v>0.8</v>
      </c>
      <c r="P13" s="1">
        <v>0.73</v>
      </c>
      <c r="Q13" s="77">
        <f>L13/P13-1</f>
        <v>0.09589041095890427</v>
      </c>
    </row>
    <row r="14" spans="3:12" ht="12.75" customHeight="1">
      <c r="C14" s="79"/>
      <c r="F14" s="43"/>
      <c r="L14" s="79"/>
    </row>
    <row r="15" spans="1:17" ht="12.75" customHeight="1">
      <c r="A15" s="1">
        <v>117</v>
      </c>
      <c r="B15" s="1" t="s">
        <v>1083</v>
      </c>
      <c r="C15" s="79">
        <v>1.29</v>
      </c>
      <c r="D15" s="1">
        <f>C15*0.93</f>
        <v>1.1997</v>
      </c>
      <c r="E15" s="1">
        <v>0.53</v>
      </c>
      <c r="F15" s="43" t="s">
        <v>1076</v>
      </c>
      <c r="G15" s="1">
        <v>0.55</v>
      </c>
      <c r="H15" s="77">
        <f>C15/G15-1</f>
        <v>1.3454545454545452</v>
      </c>
      <c r="J15" s="1">
        <v>117</v>
      </c>
      <c r="K15" s="1" t="s">
        <v>1084</v>
      </c>
      <c r="L15" s="79">
        <v>0.88</v>
      </c>
      <c r="P15" s="1">
        <v>0.76</v>
      </c>
      <c r="Q15" s="77">
        <f>L15/P15-1</f>
        <v>0.1578947368421053</v>
      </c>
    </row>
    <row r="16" spans="3:12" ht="12.75" customHeight="1">
      <c r="C16" s="79"/>
      <c r="F16" s="43"/>
      <c r="L16" s="79"/>
    </row>
    <row r="17" spans="1:17" ht="12.75" customHeight="1">
      <c r="A17" s="1">
        <v>125</v>
      </c>
      <c r="B17" s="1" t="s">
        <v>1085</v>
      </c>
      <c r="C17" s="79">
        <v>1.452</v>
      </c>
      <c r="D17" s="1">
        <f>C17*0.93</f>
        <v>1.35036</v>
      </c>
      <c r="E17" s="1">
        <v>0.57</v>
      </c>
      <c r="F17" s="43" t="s">
        <v>1076</v>
      </c>
      <c r="G17" s="1">
        <v>0.59</v>
      </c>
      <c r="H17" s="77">
        <f>C17/G17-1</f>
        <v>1.4610169491525422</v>
      </c>
      <c r="J17" s="1">
        <v>125</v>
      </c>
      <c r="K17" s="1" t="s">
        <v>1086</v>
      </c>
      <c r="L17" s="79">
        <v>1.05</v>
      </c>
      <c r="P17" s="1">
        <v>0.88</v>
      </c>
      <c r="Q17" s="77">
        <f>L17/P17-1</f>
        <v>0.19318181818181812</v>
      </c>
    </row>
    <row r="18" spans="3:12" ht="12.75" customHeight="1">
      <c r="C18" s="79"/>
      <c r="F18" s="43"/>
      <c r="L18" s="79"/>
    </row>
    <row r="19" spans="1:17" ht="12.75" customHeight="1">
      <c r="A19" s="1">
        <v>126</v>
      </c>
      <c r="B19" s="1" t="s">
        <v>1087</v>
      </c>
      <c r="C19" s="79">
        <v>2.16</v>
      </c>
      <c r="D19" s="1">
        <f>C19*0.93</f>
        <v>2.0088000000000004</v>
      </c>
      <c r="E19" s="1">
        <v>1.29</v>
      </c>
      <c r="F19" s="43" t="s">
        <v>1088</v>
      </c>
      <c r="G19" s="1">
        <v>1.35</v>
      </c>
      <c r="H19" s="77">
        <f>C19/G19-1</f>
        <v>0.6000000000000001</v>
      </c>
      <c r="J19" s="1">
        <v>126</v>
      </c>
      <c r="K19" s="1" t="s">
        <v>1089</v>
      </c>
      <c r="L19" s="79">
        <v>1.74</v>
      </c>
      <c r="P19" s="1">
        <v>1.7</v>
      </c>
      <c r="Q19" s="77">
        <f>L19/P19-1</f>
        <v>0.0235294117647058</v>
      </c>
    </row>
    <row r="20" spans="3:12" ht="12.75" customHeight="1">
      <c r="C20" s="79"/>
      <c r="F20" s="43"/>
      <c r="L20" s="79"/>
    </row>
    <row r="21" spans="1:17" ht="12.75" customHeight="1">
      <c r="A21" s="1">
        <v>127</v>
      </c>
      <c r="C21" s="79"/>
      <c r="D21" s="1">
        <f>C21*0.93</f>
        <v>0</v>
      </c>
      <c r="E21" s="1">
        <v>1.29</v>
      </c>
      <c r="F21" s="43" t="s">
        <v>1088</v>
      </c>
      <c r="G21" s="1">
        <v>1.35</v>
      </c>
      <c r="H21" s="77">
        <f>C21/G21-1</f>
        <v>-1</v>
      </c>
      <c r="J21" s="1">
        <v>127</v>
      </c>
      <c r="K21" s="1" t="s">
        <v>1090</v>
      </c>
      <c r="L21" s="79">
        <v>1.74</v>
      </c>
      <c r="P21" s="1">
        <v>1.7</v>
      </c>
      <c r="Q21" s="77">
        <f>L21/P21-1</f>
        <v>0.0235294117647058</v>
      </c>
    </row>
    <row r="22" spans="3:12" ht="12.75" customHeight="1">
      <c r="C22" s="79"/>
      <c r="F22" s="43"/>
      <c r="L22" s="79"/>
    </row>
    <row r="23" spans="1:17" ht="12.75" customHeight="1">
      <c r="A23" s="1">
        <v>128</v>
      </c>
      <c r="C23" s="79"/>
      <c r="D23" s="1">
        <f>C23*0.93</f>
        <v>0</v>
      </c>
      <c r="E23" s="1">
        <v>0.64</v>
      </c>
      <c r="F23" s="43" t="s">
        <v>1088</v>
      </c>
      <c r="G23" s="1">
        <v>0.65</v>
      </c>
      <c r="H23" s="77">
        <f>C23/G23-1</f>
        <v>-1</v>
      </c>
      <c r="J23" s="1">
        <v>128</v>
      </c>
      <c r="K23" s="1" t="s">
        <v>1091</v>
      </c>
      <c r="L23" s="79">
        <v>1.3</v>
      </c>
      <c r="P23" s="1">
        <v>0.96</v>
      </c>
      <c r="Q23" s="77">
        <f>L23/P23-1</f>
        <v>0.35416666666666674</v>
      </c>
    </row>
    <row r="24" spans="3:12" ht="12.75" customHeight="1">
      <c r="C24" s="79"/>
      <c r="F24" s="43"/>
      <c r="L24" s="79"/>
    </row>
    <row r="25" spans="1:17" ht="12.75" customHeight="1">
      <c r="A25" s="1">
        <v>129</v>
      </c>
      <c r="C25" s="79"/>
      <c r="D25" s="1">
        <f>C25*0.93</f>
        <v>0</v>
      </c>
      <c r="E25" s="1">
        <v>0.92</v>
      </c>
      <c r="F25" s="43" t="s">
        <v>1088</v>
      </c>
      <c r="G25" s="1">
        <v>0.95</v>
      </c>
      <c r="H25" s="77">
        <f>C25/G25-1</f>
        <v>-1</v>
      </c>
      <c r="J25" s="1">
        <v>129</v>
      </c>
      <c r="K25" s="1" t="s">
        <v>1092</v>
      </c>
      <c r="L25" s="79">
        <v>2.19</v>
      </c>
      <c r="P25" s="1">
        <v>1.25</v>
      </c>
      <c r="Q25" s="77">
        <f>L25/P25-1</f>
        <v>0.752</v>
      </c>
    </row>
    <row r="26" spans="3:12" ht="12.75" customHeight="1">
      <c r="C26" s="79"/>
      <c r="F26" s="43"/>
      <c r="L26" s="79"/>
    </row>
    <row r="27" spans="1:17" ht="12.75" customHeight="1">
      <c r="A27" s="1">
        <v>133</v>
      </c>
      <c r="B27" s="1" t="s">
        <v>1093</v>
      </c>
      <c r="C27" s="79">
        <v>2.084</v>
      </c>
      <c r="D27" s="1">
        <f>C27*0.93</f>
        <v>1.93812</v>
      </c>
      <c r="E27" s="1">
        <v>1.29</v>
      </c>
      <c r="F27" s="43" t="s">
        <v>1088</v>
      </c>
      <c r="H27" s="77"/>
      <c r="J27" s="1">
        <v>133</v>
      </c>
      <c r="K27" s="1" t="s">
        <v>1094</v>
      </c>
      <c r="L27" s="79">
        <v>3.07</v>
      </c>
      <c r="M27" s="28"/>
      <c r="P27" s="28">
        <f>1.389*0.93</f>
        <v>1.29177</v>
      </c>
      <c r="Q27" s="77">
        <f>L27/P27-1</f>
        <v>1.3765840668230411</v>
      </c>
    </row>
    <row r="28" spans="3:12" ht="12.75" customHeight="1">
      <c r="C28" s="79"/>
      <c r="F28" s="43"/>
      <c r="L28" s="79"/>
    </row>
    <row r="29" spans="1:12" ht="12.75" customHeight="1">
      <c r="A29" s="1">
        <v>135</v>
      </c>
      <c r="B29" s="1" t="s">
        <v>1095</v>
      </c>
      <c r="C29" s="79"/>
      <c r="G29" s="1">
        <v>2.25</v>
      </c>
      <c r="J29" s="1">
        <v>135</v>
      </c>
      <c r="L29" s="79"/>
    </row>
    <row r="30" spans="3:12" ht="12.75" customHeight="1">
      <c r="C30" s="79"/>
      <c r="L30" s="79"/>
    </row>
    <row r="31" spans="1:17" ht="12.75" customHeight="1">
      <c r="A31" s="1">
        <v>138</v>
      </c>
      <c r="B31" s="1" t="s">
        <v>1096</v>
      </c>
      <c r="C31" s="79"/>
      <c r="G31" s="1">
        <v>2.45</v>
      </c>
      <c r="J31" s="1">
        <v>138</v>
      </c>
      <c r="K31" s="48" t="s">
        <v>1097</v>
      </c>
      <c r="L31" s="79">
        <v>3.84</v>
      </c>
      <c r="P31" s="1">
        <v>2.46</v>
      </c>
      <c r="Q31" s="77">
        <f>L34/P31-1</f>
        <v>-1</v>
      </c>
    </row>
    <row r="32" spans="3:12" ht="12.75" customHeight="1">
      <c r="C32" s="79"/>
      <c r="L32" s="79"/>
    </row>
    <row r="33" spans="1:12" ht="12.75" customHeight="1">
      <c r="A33" s="1">
        <v>140</v>
      </c>
      <c r="B33" s="1" t="s">
        <v>1098</v>
      </c>
      <c r="C33" s="79">
        <v>1.52</v>
      </c>
      <c r="D33" s="1">
        <f>C33*0.93</f>
        <v>1.4136000000000002</v>
      </c>
      <c r="E33" s="1">
        <v>1.29</v>
      </c>
      <c r="F33" s="43" t="s">
        <v>1088</v>
      </c>
      <c r="J33" s="1">
        <v>140</v>
      </c>
      <c r="L33" s="79"/>
    </row>
    <row r="34" spans="11:12" ht="12.75" customHeight="1">
      <c r="K34" s="48"/>
      <c r="L34" s="79"/>
    </row>
    <row r="35" spans="1:12" ht="12.75" customHeight="1">
      <c r="A35" s="1">
        <v>149</v>
      </c>
      <c r="B35" s="1" t="s">
        <v>1099</v>
      </c>
      <c r="G35" s="1">
        <v>2.25</v>
      </c>
      <c r="J35" s="48">
        <v>149</v>
      </c>
      <c r="K35" s="48"/>
      <c r="L35" s="101"/>
    </row>
    <row r="36" spans="10:12" ht="12.75" customHeight="1">
      <c r="J36" s="48"/>
      <c r="K36" s="48"/>
      <c r="L36" s="102"/>
    </row>
    <row r="37" spans="10:12" ht="12.75" customHeight="1">
      <c r="J37" s="48"/>
      <c r="K37" s="48" t="s">
        <v>1100</v>
      </c>
      <c r="L37" s="101">
        <v>3.35</v>
      </c>
    </row>
    <row r="38" spans="10:12" ht="12.75" customHeight="1">
      <c r="J38" s="48"/>
      <c r="K38" s="48"/>
      <c r="L38" s="102"/>
    </row>
    <row r="39" ht="12.75"/>
    <row r="40" spans="1:2" ht="12.75" customHeight="1">
      <c r="A40" s="98" t="s">
        <v>1101</v>
      </c>
      <c r="B40" s="98"/>
    </row>
    <row r="41" spans="1:5" ht="12.75" customHeight="1">
      <c r="A41" s="99" t="s">
        <v>8</v>
      </c>
      <c r="B41" s="99"/>
      <c r="C41" s="99" t="s">
        <v>1068</v>
      </c>
      <c r="D41" s="99" t="s">
        <v>1069</v>
      </c>
      <c r="E41" s="99" t="s">
        <v>1102</v>
      </c>
    </row>
    <row r="42" ht="12.75"/>
    <row r="43" spans="1:5" ht="12.75" customHeight="1">
      <c r="A43" s="1">
        <v>2010</v>
      </c>
      <c r="C43" s="1" t="s">
        <v>1103</v>
      </c>
      <c r="D43" s="1">
        <v>0.04</v>
      </c>
      <c r="E43" s="1" t="s">
        <v>1104</v>
      </c>
    </row>
    <row r="44" ht="12.75"/>
    <row r="45" spans="1:9" ht="12.75" customHeight="1">
      <c r="A45" s="1">
        <v>2013</v>
      </c>
      <c r="C45" s="1" t="s">
        <v>1105</v>
      </c>
      <c r="D45" s="1">
        <v>0.72</v>
      </c>
      <c r="E45" s="1" t="s">
        <v>1106</v>
      </c>
      <c r="F45" s="1">
        <v>516</v>
      </c>
      <c r="G45" s="1">
        <v>7500</v>
      </c>
      <c r="H45" s="1">
        <f>F45/G45</f>
        <v>0.0688</v>
      </c>
      <c r="I45" s="1">
        <f>H45*1.1</f>
        <v>0.07568000000000001</v>
      </c>
    </row>
    <row r="46" ht="12.75"/>
    <row r="47" spans="1:5" ht="12.75" customHeight="1">
      <c r="A47" s="1">
        <v>2016</v>
      </c>
      <c r="C47" s="1" t="s">
        <v>1107</v>
      </c>
      <c r="D47" s="1">
        <v>0.136</v>
      </c>
      <c r="E47" s="1" t="s">
        <v>1108</v>
      </c>
    </row>
    <row r="48" ht="12.75"/>
    <row r="49" ht="12.75"/>
    <row r="51" spans="1:4" ht="12.75" customHeight="1">
      <c r="A51" s="98" t="s">
        <v>1109</v>
      </c>
      <c r="B51" s="98"/>
      <c r="D51" s="103">
        <v>13.1</v>
      </c>
    </row>
    <row r="54" spans="1:7" ht="12.75" customHeight="1">
      <c r="A54" s="104">
        <v>71</v>
      </c>
      <c r="B54" s="104"/>
      <c r="C54" s="105" t="s">
        <v>1110</v>
      </c>
      <c r="D54" s="106">
        <v>0.5</v>
      </c>
      <c r="E54" s="107">
        <v>0.56</v>
      </c>
      <c r="F54" s="108"/>
      <c r="G54" s="104"/>
    </row>
    <row r="55" spans="1:7" ht="12.75" customHeight="1">
      <c r="A55" s="104">
        <v>72</v>
      </c>
      <c r="B55" s="104"/>
      <c r="C55" s="105" t="s">
        <v>1111</v>
      </c>
      <c r="D55" s="106">
        <v>0.48</v>
      </c>
      <c r="E55" s="107">
        <v>0.56</v>
      </c>
      <c r="F55" s="108"/>
      <c r="G55" s="104">
        <v>1.45</v>
      </c>
    </row>
    <row r="56" spans="1:7" ht="12.75" customHeight="1">
      <c r="A56" s="104">
        <v>73</v>
      </c>
      <c r="B56" s="104"/>
      <c r="C56" s="105" t="s">
        <v>1112</v>
      </c>
      <c r="D56" s="106">
        <v>0.74</v>
      </c>
      <c r="E56" s="109"/>
      <c r="F56" s="104"/>
      <c r="G56" s="95"/>
    </row>
    <row r="57" spans="1:7" ht="12.75" customHeight="1">
      <c r="A57" s="104">
        <v>105</v>
      </c>
      <c r="B57" s="104"/>
      <c r="C57" s="105" t="s">
        <v>1113</v>
      </c>
      <c r="D57" s="106">
        <v>0.46</v>
      </c>
      <c r="E57" s="107">
        <v>0.56</v>
      </c>
      <c r="F57" s="108"/>
      <c r="G57" s="104">
        <v>0.82</v>
      </c>
    </row>
    <row r="58" spans="1:7" ht="12.75" customHeight="1">
      <c r="A58" s="104">
        <v>115</v>
      </c>
      <c r="B58" s="104"/>
      <c r="C58" s="105" t="s">
        <v>1114</v>
      </c>
      <c r="D58" s="106">
        <v>0.5</v>
      </c>
      <c r="E58" s="107">
        <v>0.56</v>
      </c>
      <c r="F58" s="108"/>
      <c r="G58" s="104">
        <v>0.73</v>
      </c>
    </row>
    <row r="59" spans="1:5" ht="12.75" customHeight="1">
      <c r="A59" s="104">
        <v>117</v>
      </c>
      <c r="B59" s="104"/>
      <c r="C59" s="105" t="s">
        <v>1115</v>
      </c>
      <c r="D59" s="106">
        <v>0.53</v>
      </c>
      <c r="E59" s="107">
        <v>0.63</v>
      </c>
    </row>
    <row r="60" spans="1:7" ht="12.75" customHeight="1">
      <c r="A60" s="104">
        <v>125</v>
      </c>
      <c r="B60" s="104"/>
      <c r="C60" s="105" t="s">
        <v>1116</v>
      </c>
      <c r="D60" s="106">
        <v>0.57</v>
      </c>
      <c r="E60" s="107">
        <v>0.72</v>
      </c>
      <c r="F60" s="108"/>
      <c r="G60" s="104">
        <v>0.65</v>
      </c>
    </row>
    <row r="61" spans="1:7" ht="12.75" customHeight="1">
      <c r="A61" s="104">
        <v>126</v>
      </c>
      <c r="B61" s="104"/>
      <c r="C61" s="105" t="s">
        <v>1117</v>
      </c>
      <c r="D61" s="106">
        <v>1.29</v>
      </c>
      <c r="E61" s="107">
        <v>1.24</v>
      </c>
      <c r="F61" s="108"/>
      <c r="G61" s="104">
        <v>2.3</v>
      </c>
    </row>
    <row r="62" spans="1:7" ht="12.75" customHeight="1">
      <c r="A62" s="104">
        <v>127</v>
      </c>
      <c r="B62" s="104"/>
      <c r="C62" s="105" t="s">
        <v>1118</v>
      </c>
      <c r="D62" s="106">
        <v>1.29</v>
      </c>
      <c r="E62" s="107">
        <v>1.24</v>
      </c>
      <c r="F62" s="108"/>
      <c r="G62" s="104"/>
    </row>
    <row r="63" spans="1:6" ht="12.75" customHeight="1">
      <c r="A63" s="104">
        <v>128</v>
      </c>
      <c r="B63" s="104"/>
      <c r="C63" s="105" t="s">
        <v>1119</v>
      </c>
      <c r="D63" s="106">
        <v>0.64</v>
      </c>
      <c r="E63" s="107">
        <v>0.96</v>
      </c>
      <c r="F63" s="105" t="s">
        <v>1120</v>
      </c>
    </row>
    <row r="64" spans="1:7" ht="12.75" customHeight="1">
      <c r="A64" s="104">
        <v>129</v>
      </c>
      <c r="B64" s="104"/>
      <c r="C64" s="105" t="s">
        <v>1121</v>
      </c>
      <c r="D64" s="106">
        <v>0.92</v>
      </c>
      <c r="E64" s="107">
        <v>1.56</v>
      </c>
      <c r="F64" s="108"/>
      <c r="G64" s="104">
        <v>1.45</v>
      </c>
    </row>
    <row r="65" spans="1:7" ht="12.75" customHeight="1">
      <c r="A65" s="104">
        <v>140</v>
      </c>
      <c r="B65" s="104"/>
      <c r="C65" s="105" t="s">
        <v>1122</v>
      </c>
      <c r="D65" s="106">
        <v>0.95</v>
      </c>
      <c r="E65" s="107"/>
      <c r="F65" s="105" t="s">
        <v>1123</v>
      </c>
      <c r="G65" s="104"/>
    </row>
    <row r="66" spans="1:7" ht="12.75" customHeight="1">
      <c r="A66" s="104">
        <v>149</v>
      </c>
      <c r="B66" s="104"/>
      <c r="C66" s="105" t="s">
        <v>1124</v>
      </c>
      <c r="D66" s="106">
        <v>2.25</v>
      </c>
      <c r="E66" s="110"/>
      <c r="F66" s="105" t="s">
        <v>1125</v>
      </c>
      <c r="G66" s="104">
        <v>1.4</v>
      </c>
    </row>
    <row r="67" spans="1:7" ht="12.75" customHeight="1">
      <c r="A67" s="104">
        <v>133</v>
      </c>
      <c r="B67" s="104"/>
      <c r="C67" s="105" t="s">
        <v>1126</v>
      </c>
      <c r="D67" s="106">
        <v>2.19</v>
      </c>
      <c r="E67" s="107">
        <v>2.19</v>
      </c>
      <c r="F67" s="105" t="s">
        <v>1127</v>
      </c>
      <c r="G67" s="95"/>
    </row>
    <row r="68" spans="1:7" ht="12.75" customHeight="1">
      <c r="A68" s="104">
        <v>135</v>
      </c>
      <c r="B68" s="104"/>
      <c r="C68" s="105" t="s">
        <v>1128</v>
      </c>
      <c r="D68" s="106">
        <v>2.25</v>
      </c>
      <c r="E68" s="105" t="s">
        <v>1129</v>
      </c>
      <c r="F68" s="105" t="s">
        <v>1130</v>
      </c>
      <c r="G68" s="95"/>
    </row>
    <row r="69" spans="1:7" ht="12.75" customHeight="1">
      <c r="A69" s="104">
        <v>138</v>
      </c>
      <c r="B69" s="104"/>
      <c r="C69" s="105" t="s">
        <v>1131</v>
      </c>
      <c r="D69" s="111">
        <v>2.45</v>
      </c>
      <c r="E69" s="105" t="s">
        <v>1132</v>
      </c>
      <c r="F69" s="104"/>
      <c r="G69" s="95"/>
    </row>
    <row r="70" ht="12.75"/>
    <row r="71" ht="12.75"/>
    <row r="72" ht="12.75">
      <c r="F72"/>
    </row>
    <row r="73" spans="1:9" ht="12.75" customHeight="1">
      <c r="A73" s="1" t="s">
        <v>1133</v>
      </c>
      <c r="C73" s="1" t="s">
        <v>1134</v>
      </c>
      <c r="D73" s="1">
        <v>36</v>
      </c>
      <c r="E73" s="112">
        <f>(D73/F73)-1</f>
        <v>0.37142857142857144</v>
      </c>
      <c r="F73" s="1">
        <v>26.25</v>
      </c>
      <c r="G73" s="1" t="s">
        <v>1073</v>
      </c>
      <c r="H73">
        <v>1000</v>
      </c>
      <c r="I73" s="1" t="s">
        <v>1135</v>
      </c>
    </row>
    <row r="74" spans="3:7" ht="12.75" customHeight="1">
      <c r="C74" s="1" t="s">
        <v>1136</v>
      </c>
      <c r="D74" s="1">
        <f>ROUND(D73*D75,2)</f>
        <v>1.55</v>
      </c>
      <c r="E74" s="112">
        <f>(D74/F74)-1</f>
        <v>0.3716814159292037</v>
      </c>
      <c r="F74">
        <v>1.13</v>
      </c>
      <c r="G74"/>
    </row>
    <row r="75" spans="3:7" ht="12.75" customHeight="1">
      <c r="C75" s="1" t="s">
        <v>1137</v>
      </c>
      <c r="D75" s="1">
        <v>0.043000000000000003</v>
      </c>
      <c r="F75" s="1">
        <f>D75*H73</f>
        <v>43</v>
      </c>
      <c r="G75" s="1" t="s">
        <v>1138</v>
      </c>
    </row>
    <row r="76" spans="1:4" ht="12.75" customHeight="1">
      <c r="A76"/>
      <c r="C76" s="113" t="s">
        <v>1139</v>
      </c>
      <c r="D76" s="114">
        <v>0.2</v>
      </c>
    </row>
    <row r="77" spans="3:4" ht="12.75">
      <c r="C77" s="48" t="s">
        <v>1140</v>
      </c>
      <c r="D77" s="114">
        <v>0.12</v>
      </c>
    </row>
    <row r="78" spans="1:4" ht="14.25">
      <c r="A78"/>
      <c r="C78" s="48" t="s">
        <v>1141</v>
      </c>
      <c r="D78" s="114">
        <v>0.03</v>
      </c>
    </row>
    <row r="79" spans="3:4" ht="12.75">
      <c r="C79" s="1" t="s">
        <v>1142</v>
      </c>
      <c r="D79" s="1">
        <f>D73*(1+D76)*(1+D77)*(1+D78)</f>
        <v>49.83552</v>
      </c>
    </row>
    <row r="80" spans="3:6" ht="12.75">
      <c r="C80" s="48" t="s">
        <v>1143</v>
      </c>
      <c r="D80" s="1">
        <f>D79*D75</f>
        <v>2.1429273600000003</v>
      </c>
      <c r="E80" s="112">
        <f>(D80/F80)-1</f>
        <v>0.7857728000000004</v>
      </c>
      <c r="F80" s="1">
        <v>1.2</v>
      </c>
    </row>
    <row r="81" spans="3:5" ht="12.75">
      <c r="C81" s="48" t="s">
        <v>1143</v>
      </c>
      <c r="D81" s="1">
        <f>ROUND(D80,1)+0.05</f>
        <v>2.15</v>
      </c>
      <c r="E81" s="112">
        <f>D81/D74-1</f>
        <v>0.38709677419354827</v>
      </c>
    </row>
    <row r="82" ht="12.75"/>
    <row r="90" ht="12.75"/>
    <row r="91" ht="12.75"/>
    <row r="92" ht="12.75"/>
    <row r="94" ht="12.75"/>
    <row r="95" ht="12.75"/>
    <row r="100" ht="12.75"/>
    <row r="101" ht="12.75"/>
    <row r="102" ht="12.75"/>
    <row r="148" ht="12.75"/>
    <row r="149" ht="12.75"/>
    <row r="150" ht="12.75"/>
    <row r="159" ht="12.75"/>
    <row r="160" ht="12.75"/>
    <row r="161" ht="12.75"/>
    <row r="184" ht="12.75"/>
    <row r="185" ht="12.75"/>
    <row r="186" ht="12.75"/>
    <row r="190" ht="12.75"/>
    <row r="191" ht="12.75"/>
    <row r="192" ht="12.75"/>
    <row r="206" ht="12.75"/>
    <row r="207" ht="12.75"/>
    <row r="208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30"/>
  <sheetViews>
    <sheetView zoomScaleSheetLayoutView="1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2" width="11.421875" style="1" customWidth="1"/>
    <col min="3" max="3" width="38.00390625" style="1" customWidth="1"/>
    <col min="4" max="4" width="9.140625" style="1" customWidth="1"/>
    <col min="5" max="5" width="4.8515625" style="1" customWidth="1"/>
    <col min="6" max="6" width="37.421875" style="1" customWidth="1"/>
    <col min="7" max="7" width="20.421875" style="1" customWidth="1"/>
    <col min="8" max="16384" width="11.421875" style="1" customWidth="1"/>
  </cols>
  <sheetData>
    <row r="1" ht="12.75"/>
    <row r="2" spans="1:7" ht="12.75" customHeight="1">
      <c r="A2" s="98" t="s">
        <v>1144</v>
      </c>
      <c r="C2" s="98" t="s">
        <v>1145</v>
      </c>
      <c r="D2" s="98"/>
      <c r="F2" s="98" t="s">
        <v>1146</v>
      </c>
      <c r="G2" s="98"/>
    </row>
    <row r="3" spans="1:4" ht="12.75" customHeight="1">
      <c r="A3" s="98"/>
      <c r="C3" s="98"/>
      <c r="D3" s="98"/>
    </row>
    <row r="4" spans="1:4" ht="12.75" customHeight="1">
      <c r="A4" s="98"/>
      <c r="C4" s="98"/>
      <c r="D4" s="98"/>
    </row>
    <row r="5" spans="3:7" ht="12.75" customHeight="1">
      <c r="C5" s="115" t="s">
        <v>1147</v>
      </c>
      <c r="D5" s="115" t="s">
        <v>1148</v>
      </c>
      <c r="F5" s="1" t="s">
        <v>1149</v>
      </c>
      <c r="G5" s="115"/>
    </row>
    <row r="6" spans="1:7" ht="12.75" customHeight="1">
      <c r="A6" s="1" t="s">
        <v>1150</v>
      </c>
      <c r="C6" s="1" t="s">
        <v>1151</v>
      </c>
      <c r="D6" s="17">
        <v>1.785</v>
      </c>
      <c r="F6" s="24" t="s">
        <v>1152</v>
      </c>
      <c r="G6" s="17"/>
    </row>
    <row r="7" spans="3:4" ht="12.75" customHeight="1">
      <c r="C7" s="17"/>
      <c r="D7" s="17"/>
    </row>
    <row r="8" ht="12.75" customHeight="1"/>
    <row r="9" spans="1:7" ht="12.75" customHeight="1">
      <c r="A9" s="1" t="s">
        <v>26</v>
      </c>
      <c r="C9" s="1" t="s">
        <v>1153</v>
      </c>
      <c r="D9" s="17">
        <v>2.045</v>
      </c>
      <c r="F9" s="24" t="s">
        <v>1154</v>
      </c>
      <c r="G9" s="17"/>
    </row>
    <row r="10" spans="3:4" ht="12.75" customHeight="1">
      <c r="C10" s="17"/>
      <c r="D10" s="17"/>
    </row>
    <row r="11" ht="12.75" customHeight="1"/>
    <row r="12" spans="1:7" ht="12.75" customHeight="1">
      <c r="A12" s="1" t="s">
        <v>1155</v>
      </c>
      <c r="C12" s="1" t="s">
        <v>1156</v>
      </c>
      <c r="D12" s="17">
        <v>2.045</v>
      </c>
      <c r="F12" s="24" t="s">
        <v>1157</v>
      </c>
      <c r="G12" s="17"/>
    </row>
    <row r="13" spans="3:4" ht="12.75" customHeight="1">
      <c r="C13" s="17"/>
      <c r="D13" s="17"/>
    </row>
    <row r="14" ht="12.75" customHeight="1"/>
    <row r="15" spans="1:7" ht="12.75" customHeight="1">
      <c r="A15" s="1" t="s">
        <v>35</v>
      </c>
      <c r="C15" s="1" t="s">
        <v>1158</v>
      </c>
      <c r="D15" s="17">
        <v>2.148</v>
      </c>
      <c r="F15" s="24" t="s">
        <v>1159</v>
      </c>
      <c r="G15" s="17"/>
    </row>
    <row r="16" spans="3:4" ht="12.75" customHeight="1">
      <c r="C16" s="17"/>
      <c r="D16" s="17"/>
    </row>
    <row r="17" spans="1:7" ht="12.75" customHeight="1">
      <c r="A17" s="1" t="s">
        <v>40</v>
      </c>
      <c r="C17" s="24" t="s">
        <v>1160</v>
      </c>
      <c r="D17" s="17">
        <f>2198.81*1*1</f>
        <v>2198.81</v>
      </c>
      <c r="F17" s="83" t="s">
        <v>1161</v>
      </c>
      <c r="G17" s="17"/>
    </row>
    <row r="18" spans="3:4" ht="12.75" customHeight="1">
      <c r="C18" s="17"/>
      <c r="D18" s="17"/>
    </row>
    <row r="19" ht="12.75" customHeight="1"/>
    <row r="20" spans="1:7" ht="12.75" customHeight="1">
      <c r="A20" s="1" t="s">
        <v>49</v>
      </c>
      <c r="C20" s="1" t="s">
        <v>1162</v>
      </c>
      <c r="D20" s="17">
        <v>2.148</v>
      </c>
      <c r="F20" s="24" t="s">
        <v>1163</v>
      </c>
      <c r="G20" s="17"/>
    </row>
    <row r="21" spans="3:4" ht="12.75" customHeight="1">
      <c r="C21" s="17"/>
      <c r="D21" s="17"/>
    </row>
    <row r="22" spans="1:7" ht="12.75" customHeight="1">
      <c r="A22" s="1" t="s">
        <v>54</v>
      </c>
      <c r="C22" s="24" t="s">
        <v>1164</v>
      </c>
      <c r="D22" s="17">
        <v>2470.094</v>
      </c>
      <c r="F22" s="1" t="s">
        <v>1165</v>
      </c>
      <c r="G22" s="17"/>
    </row>
    <row r="23" spans="3:4" ht="12.75" customHeight="1">
      <c r="C23" s="17"/>
      <c r="D23" s="17"/>
    </row>
    <row r="24" spans="1:7" ht="12.75" customHeight="1">
      <c r="A24" s="1" t="s">
        <v>60</v>
      </c>
      <c r="C24" s="1" t="s">
        <v>1166</v>
      </c>
      <c r="D24" s="17">
        <v>1.718</v>
      </c>
      <c r="F24" s="24" t="s">
        <v>1167</v>
      </c>
      <c r="G24" s="17"/>
    </row>
    <row r="25" spans="3:4" ht="12.75" customHeight="1">
      <c r="C25" s="17"/>
      <c r="D25" s="17"/>
    </row>
    <row r="26" ht="12.75" customHeight="1"/>
    <row r="27" spans="1:6" ht="12.75" customHeight="1">
      <c r="A27" s="1" t="s">
        <v>72</v>
      </c>
      <c r="C27" s="24" t="s">
        <v>1168</v>
      </c>
      <c r="D27" s="17">
        <v>4860.218</v>
      </c>
      <c r="F27" s="21"/>
    </row>
    <row r="28" ht="12.75" customHeight="1">
      <c r="C28" s="17"/>
    </row>
    <row r="29" spans="1:7" ht="12.75" customHeight="1">
      <c r="A29" s="1" t="s">
        <v>69</v>
      </c>
      <c r="C29" s="1" t="s">
        <v>1169</v>
      </c>
      <c r="D29" s="17">
        <v>2.363</v>
      </c>
      <c r="F29" s="24" t="s">
        <v>1170</v>
      </c>
      <c r="G29" s="17"/>
    </row>
    <row r="30" spans="3:4" ht="12.75" customHeight="1">
      <c r="C30" s="17"/>
      <c r="D30" s="17"/>
    </row>
    <row r="31" spans="3:7" ht="12.75" customHeight="1">
      <c r="C31" s="24"/>
      <c r="F31" s="24" t="s">
        <v>1171</v>
      </c>
      <c r="G31" s="17"/>
    </row>
    <row r="32" ht="12.75" customHeight="1">
      <c r="C32" s="17"/>
    </row>
    <row r="33" spans="1:7" ht="12.75" customHeight="1">
      <c r="A33" s="1" t="s">
        <v>86</v>
      </c>
      <c r="C33" s="24"/>
      <c r="F33" s="24" t="s">
        <v>1172</v>
      </c>
      <c r="G33" s="17"/>
    </row>
    <row r="34" ht="12.75" customHeight="1">
      <c r="C34" s="17"/>
    </row>
    <row r="35" spans="1:7" ht="12.75" customHeight="1">
      <c r="A35" s="1" t="s">
        <v>88</v>
      </c>
      <c r="C35" s="1" t="s">
        <v>1173</v>
      </c>
      <c r="D35" s="17">
        <v>3.625</v>
      </c>
      <c r="F35" s="24" t="s">
        <v>1174</v>
      </c>
      <c r="G35" s="17"/>
    </row>
    <row r="36" spans="3:4" ht="12.75" customHeight="1">
      <c r="C36" s="17"/>
      <c r="D36" s="17"/>
    </row>
    <row r="37" ht="12.75" customHeight="1"/>
    <row r="38" spans="1:6" ht="12.75" customHeight="1">
      <c r="A38" s="1" t="s">
        <v>93</v>
      </c>
      <c r="C38" s="24" t="s">
        <v>1175</v>
      </c>
      <c r="D38" s="17">
        <v>7536.502</v>
      </c>
      <c r="F38" s="21"/>
    </row>
    <row r="39" spans="1:3" ht="12.75" customHeight="1">
      <c r="A39" s="1" t="s">
        <v>96</v>
      </c>
      <c r="C39" s="17"/>
    </row>
    <row r="40" ht="12.75" customHeight="1"/>
    <row r="41" spans="1:7" ht="12.75" customHeight="1">
      <c r="A41" s="1" t="s">
        <v>97</v>
      </c>
      <c r="C41" s="1" t="s">
        <v>1176</v>
      </c>
      <c r="D41" s="17">
        <v>2.359</v>
      </c>
      <c r="F41" s="24" t="s">
        <v>1177</v>
      </c>
      <c r="G41" s="17"/>
    </row>
    <row r="42" spans="3:4" ht="12.75" customHeight="1">
      <c r="C42" s="17"/>
      <c r="D42" s="17"/>
    </row>
    <row r="43" ht="12.75" customHeight="1"/>
    <row r="44" spans="1:7" ht="12.75" customHeight="1">
      <c r="A44" s="1" t="s">
        <v>113</v>
      </c>
      <c r="C44" s="1" t="s">
        <v>1178</v>
      </c>
      <c r="D44" s="17">
        <v>2.649</v>
      </c>
      <c r="F44" s="24" t="s">
        <v>1179</v>
      </c>
      <c r="G44" s="17"/>
    </row>
    <row r="45" ht="12.75" customHeight="1"/>
    <row r="46" spans="1:7" ht="12.75" customHeight="1">
      <c r="A46" s="1" t="s">
        <v>1180</v>
      </c>
      <c r="C46" s="1" t="s">
        <v>1181</v>
      </c>
      <c r="D46" s="17">
        <v>5.954</v>
      </c>
      <c r="F46" s="24" t="s">
        <v>1182</v>
      </c>
      <c r="G46" s="17"/>
    </row>
    <row r="47" spans="1:4" ht="12.75" customHeight="1">
      <c r="A47" s="1" t="s">
        <v>96</v>
      </c>
      <c r="C47" s="17"/>
      <c r="D47" s="17"/>
    </row>
    <row r="48" ht="12.75" customHeight="1"/>
    <row r="49" spans="1:7" ht="12.75" customHeight="1">
      <c r="A49" s="1" t="s">
        <v>136</v>
      </c>
      <c r="C49" s="1" t="s">
        <v>1183</v>
      </c>
      <c r="D49" s="17">
        <v>6.682</v>
      </c>
      <c r="F49" s="24" t="s">
        <v>1184</v>
      </c>
      <c r="G49" s="17"/>
    </row>
    <row r="50" spans="1:4" ht="12.75" customHeight="1">
      <c r="A50" s="1" t="s">
        <v>96</v>
      </c>
      <c r="C50" s="17"/>
      <c r="D50" s="17"/>
    </row>
    <row r="51" ht="12.75" customHeight="1">
      <c r="D51" s="17"/>
    </row>
    <row r="52" spans="1:7" ht="12.75" customHeight="1">
      <c r="A52" s="1" t="s">
        <v>198</v>
      </c>
      <c r="C52" s="1" t="s">
        <v>1185</v>
      </c>
      <c r="D52" s="17">
        <v>2.221</v>
      </c>
      <c r="F52" s="24" t="s">
        <v>1186</v>
      </c>
      <c r="G52" s="17"/>
    </row>
    <row r="53" spans="1:4" ht="12.75" customHeight="1">
      <c r="A53" s="1" t="s">
        <v>202</v>
      </c>
      <c r="C53" s="17"/>
      <c r="D53" s="17"/>
    </row>
    <row r="54" ht="12.75" customHeight="1"/>
    <row r="55" spans="1:7" ht="12.75" customHeight="1">
      <c r="A55" s="1" t="s">
        <v>205</v>
      </c>
      <c r="C55" s="1" t="s">
        <v>1187</v>
      </c>
      <c r="D55" s="17">
        <v>2.969</v>
      </c>
      <c r="F55" s="24" t="s">
        <v>1188</v>
      </c>
      <c r="G55" s="17"/>
    </row>
    <row r="56" spans="1:4" ht="12.75" customHeight="1">
      <c r="A56" s="1" t="s">
        <v>209</v>
      </c>
      <c r="C56" s="17"/>
      <c r="D56" s="17"/>
    </row>
    <row r="57" ht="12.75" customHeight="1"/>
    <row r="58" spans="1:7" ht="12.75" customHeight="1">
      <c r="A58" s="1" t="s">
        <v>211</v>
      </c>
      <c r="C58" s="1" t="s">
        <v>1189</v>
      </c>
      <c r="D58" s="17">
        <v>4.211</v>
      </c>
      <c r="F58" s="24" t="s">
        <v>1190</v>
      </c>
      <c r="G58" s="17"/>
    </row>
    <row r="59" spans="1:4" ht="12.75" customHeight="1">
      <c r="A59" s="1" t="s">
        <v>215</v>
      </c>
      <c r="C59" s="17"/>
      <c r="D59" s="17"/>
    </row>
    <row r="60" ht="12.75" customHeight="1"/>
    <row r="61" spans="1:7" ht="12.75" customHeight="1">
      <c r="A61" s="1" t="s">
        <v>217</v>
      </c>
      <c r="C61" s="1" t="s">
        <v>1191</v>
      </c>
      <c r="D61" s="17">
        <v>1.962</v>
      </c>
      <c r="F61" s="24" t="s">
        <v>1192</v>
      </c>
      <c r="G61" s="17"/>
    </row>
    <row r="62" spans="3:4" ht="12.75" customHeight="1">
      <c r="C62" s="17"/>
      <c r="D62" s="17"/>
    </row>
    <row r="63" spans="3:4" ht="12.75" customHeight="1">
      <c r="C63" s="17"/>
      <c r="D63" s="17"/>
    </row>
    <row r="64" spans="1:7" ht="12.75" customHeight="1">
      <c r="A64" s="1" t="s">
        <v>222</v>
      </c>
      <c r="C64" s="1" t="s">
        <v>1193</v>
      </c>
      <c r="D64" s="17">
        <v>2.113</v>
      </c>
      <c r="F64" s="24" t="s">
        <v>1194</v>
      </c>
      <c r="G64" s="17"/>
    </row>
    <row r="65" spans="3:4" ht="12.75" customHeight="1">
      <c r="C65" s="17"/>
      <c r="D65" s="17"/>
    </row>
    <row r="66" ht="12.75" customHeight="1"/>
    <row r="67" spans="1:7" ht="12.75" customHeight="1">
      <c r="A67" s="1" t="s">
        <v>231</v>
      </c>
      <c r="C67" s="24" t="s">
        <v>1195</v>
      </c>
      <c r="D67" s="17">
        <v>2814.658</v>
      </c>
      <c r="F67" s="1" t="s">
        <v>1196</v>
      </c>
      <c r="G67" s="17"/>
    </row>
    <row r="68" spans="3:4" ht="12.75" customHeight="1">
      <c r="C68" s="17"/>
      <c r="D68" s="17"/>
    </row>
    <row r="69" spans="3:6" ht="12.75" customHeight="1">
      <c r="C69" s="24" t="s">
        <v>1197</v>
      </c>
      <c r="D69" s="17">
        <v>2830.839</v>
      </c>
      <c r="F69" s="21"/>
    </row>
    <row r="70" ht="12.75" customHeight="1">
      <c r="C70" s="17"/>
    </row>
    <row r="71" spans="1:7" ht="12.75" customHeight="1">
      <c r="A71" s="1" t="s">
        <v>240</v>
      </c>
      <c r="C71" s="1" t="s">
        <v>1198</v>
      </c>
      <c r="D71" s="17">
        <v>2.912</v>
      </c>
      <c r="F71" s="116" t="s">
        <v>1199</v>
      </c>
      <c r="G71" s="17"/>
    </row>
    <row r="72" spans="3:4" ht="12.75" customHeight="1">
      <c r="C72" s="17"/>
      <c r="D72" s="17"/>
    </row>
    <row r="73" spans="6:7" ht="12.75" customHeight="1">
      <c r="F73" s="24" t="s">
        <v>1200</v>
      </c>
      <c r="G73" s="17"/>
    </row>
    <row r="74" spans="6:7" ht="12.75" customHeight="1">
      <c r="F74" s="24"/>
      <c r="G74" s="17"/>
    </row>
    <row r="75" spans="1:7" ht="12.75" customHeight="1">
      <c r="A75" s="1" t="s">
        <v>262</v>
      </c>
      <c r="C75" s="1" t="s">
        <v>1201</v>
      </c>
      <c r="D75" s="17">
        <v>3.51</v>
      </c>
      <c r="F75" s="24" t="s">
        <v>1202</v>
      </c>
      <c r="G75" s="17"/>
    </row>
    <row r="76" spans="3:4" ht="12.75" customHeight="1">
      <c r="C76" s="17"/>
      <c r="D76" s="17"/>
    </row>
    <row r="77" spans="3:7" ht="12.75" customHeight="1">
      <c r="C77" s="24"/>
      <c r="F77" s="24" t="s">
        <v>1203</v>
      </c>
      <c r="G77" s="17"/>
    </row>
    <row r="78" ht="12.75" customHeight="1">
      <c r="C78" s="17"/>
    </row>
    <row r="79" spans="1:7" ht="12.75" customHeight="1">
      <c r="A79" s="1" t="s">
        <v>267</v>
      </c>
      <c r="C79" s="1" t="s">
        <v>1204</v>
      </c>
      <c r="D79" s="17">
        <v>3.3609999999999998</v>
      </c>
      <c r="F79" s="24" t="s">
        <v>1205</v>
      </c>
      <c r="G79" s="17"/>
    </row>
    <row r="80" spans="3:4" ht="12.75" customHeight="1">
      <c r="C80" s="17"/>
      <c r="D80" s="17"/>
    </row>
    <row r="81" spans="2:7" ht="12.75" customHeight="1">
      <c r="B81" s="1" t="s">
        <v>1206</v>
      </c>
      <c r="C81" s="24"/>
      <c r="F81" s="24" t="s">
        <v>1207</v>
      </c>
      <c r="G81" s="17"/>
    </row>
    <row r="82" ht="12.75" customHeight="1">
      <c r="C82" s="17"/>
    </row>
    <row r="83" ht="12.75" customHeight="1"/>
    <row r="84" spans="1:7" ht="12.75" customHeight="1">
      <c r="A84" s="1" t="s">
        <v>280</v>
      </c>
      <c r="C84" s="1" t="s">
        <v>1208</v>
      </c>
      <c r="D84" s="17">
        <v>4.201</v>
      </c>
      <c r="F84" s="24" t="s">
        <v>1209</v>
      </c>
      <c r="G84" s="17"/>
    </row>
    <row r="85" spans="3:4" ht="12.75" customHeight="1">
      <c r="C85" s="17"/>
      <c r="D85" s="17"/>
    </row>
    <row r="86" spans="3:7" ht="12.75" customHeight="1">
      <c r="C86" s="24"/>
      <c r="F86" s="24" t="s">
        <v>1210</v>
      </c>
      <c r="G86" s="17"/>
    </row>
    <row r="87" ht="12.75" customHeight="1">
      <c r="C87" s="17"/>
    </row>
    <row r="88" ht="12.75" customHeight="1"/>
    <row r="89" spans="1:7" ht="12.75" customHeight="1">
      <c r="A89" s="1" t="s">
        <v>296</v>
      </c>
      <c r="C89" s="1" t="s">
        <v>1211</v>
      </c>
      <c r="D89" s="17">
        <v>5.482</v>
      </c>
      <c r="F89" s="24" t="s">
        <v>1212</v>
      </c>
      <c r="G89" s="17"/>
    </row>
    <row r="90" spans="3:4" ht="12.75" customHeight="1">
      <c r="C90" s="17"/>
      <c r="D90" s="17"/>
    </row>
    <row r="91" ht="12.75" customHeight="1"/>
    <row r="92" spans="1:7" ht="12.75" customHeight="1">
      <c r="A92" s="1" t="s">
        <v>301</v>
      </c>
      <c r="C92" s="24" t="s">
        <v>1213</v>
      </c>
      <c r="D92" s="116">
        <v>9382.747</v>
      </c>
      <c r="F92" s="1" t="s">
        <v>1214</v>
      </c>
      <c r="G92" s="17"/>
    </row>
    <row r="93" spans="1:4" ht="12.75" customHeight="1">
      <c r="A93" s="1" t="s">
        <v>96</v>
      </c>
      <c r="C93" s="116"/>
      <c r="D93" s="17"/>
    </row>
    <row r="94" ht="12.75" customHeight="1"/>
    <row r="95" spans="1:7" ht="12.75" customHeight="1">
      <c r="A95" s="1" t="s">
        <v>315</v>
      </c>
      <c r="C95" s="1" t="s">
        <v>1215</v>
      </c>
      <c r="D95" s="17">
        <v>8.602</v>
      </c>
      <c r="F95" s="24" t="s">
        <v>1216</v>
      </c>
      <c r="G95" s="116"/>
    </row>
    <row r="96" spans="3:4" ht="12.75" customHeight="1">
      <c r="C96" s="116"/>
      <c r="D96" s="17"/>
    </row>
    <row r="97" spans="3:7" ht="12.75" customHeight="1">
      <c r="C97" s="24"/>
      <c r="F97" s="8" t="s">
        <v>1217</v>
      </c>
      <c r="G97" s="116"/>
    </row>
    <row r="98" ht="12.75" customHeight="1">
      <c r="C98" s="116"/>
    </row>
    <row r="99" spans="1:7" ht="12.75" customHeight="1">
      <c r="A99" s="1" t="s">
        <v>327</v>
      </c>
      <c r="C99" s="1" t="s">
        <v>1218</v>
      </c>
      <c r="D99" s="17">
        <v>7.3</v>
      </c>
      <c r="F99" s="117" t="s">
        <v>1219</v>
      </c>
      <c r="G99" s="17"/>
    </row>
    <row r="100" spans="3:4" ht="12.75" customHeight="1">
      <c r="C100" s="17"/>
      <c r="D100" s="17"/>
    </row>
    <row r="101" ht="12.75" customHeight="1"/>
    <row r="102" spans="1:7" ht="12.75" customHeight="1">
      <c r="A102" s="1" t="s">
        <v>337</v>
      </c>
      <c r="C102" s="1" t="s">
        <v>1220</v>
      </c>
      <c r="D102" s="17">
        <v>7.681</v>
      </c>
      <c r="F102" s="117" t="s">
        <v>1221</v>
      </c>
      <c r="G102" s="17"/>
    </row>
    <row r="103" spans="3:4" ht="12.75" customHeight="1">
      <c r="C103" s="17"/>
      <c r="D103" s="17"/>
    </row>
    <row r="104" spans="3:7" ht="12.75" customHeight="1">
      <c r="C104" s="117"/>
      <c r="F104" s="117" t="s">
        <v>1222</v>
      </c>
      <c r="G104" s="17"/>
    </row>
    <row r="105" ht="12.75" customHeight="1">
      <c r="C105" s="17"/>
    </row>
    <row r="106" ht="12.75" customHeight="1"/>
    <row r="107" spans="1:7" ht="12.75" customHeight="1">
      <c r="A107" s="1" t="s">
        <v>346</v>
      </c>
      <c r="C107" s="1" t="s">
        <v>1223</v>
      </c>
      <c r="D107" s="17">
        <v>3.197</v>
      </c>
      <c r="F107" s="24" t="s">
        <v>1224</v>
      </c>
      <c r="G107" s="116"/>
    </row>
    <row r="108" spans="3:4" ht="12.75" customHeight="1">
      <c r="C108" s="116"/>
      <c r="D108" s="17"/>
    </row>
    <row r="109" ht="12.75" customHeight="1"/>
    <row r="110" spans="1:7" ht="12.75" customHeight="1">
      <c r="A110" s="1" t="s">
        <v>350</v>
      </c>
      <c r="C110" s="1" t="s">
        <v>1225</v>
      </c>
      <c r="D110" s="17">
        <v>7.008</v>
      </c>
      <c r="F110" s="24" t="s">
        <v>1226</v>
      </c>
      <c r="G110" s="17"/>
    </row>
    <row r="111" spans="3:4" ht="12.75" customHeight="1">
      <c r="C111" s="17"/>
      <c r="D111" s="17"/>
    </row>
    <row r="112" spans="3:7" ht="12.75" customHeight="1">
      <c r="C112" s="24"/>
      <c r="F112" s="24" t="s">
        <v>1227</v>
      </c>
      <c r="G112" s="17"/>
    </row>
    <row r="113" ht="12.75" customHeight="1">
      <c r="C113" s="17"/>
    </row>
    <row r="114" spans="1:7" ht="12.75" customHeight="1">
      <c r="A114" s="1" t="s">
        <v>356</v>
      </c>
      <c r="C114" s="1" t="s">
        <v>1228</v>
      </c>
      <c r="D114" s="17">
        <v>7.395</v>
      </c>
      <c r="F114" s="24" t="s">
        <v>1229</v>
      </c>
      <c r="G114" s="17"/>
    </row>
    <row r="115" spans="3:4" ht="12.75" customHeight="1">
      <c r="C115" s="17"/>
      <c r="D115" s="17"/>
    </row>
    <row r="116" spans="3:7" ht="12.75" customHeight="1">
      <c r="C116" s="24"/>
      <c r="F116" s="24" t="s">
        <v>1230</v>
      </c>
      <c r="G116" s="17"/>
    </row>
    <row r="117" ht="12.75" customHeight="1">
      <c r="C117" s="17"/>
    </row>
    <row r="118" spans="1:7" ht="12.75" customHeight="1">
      <c r="A118" s="1" t="s">
        <v>365</v>
      </c>
      <c r="C118" s="1" t="s">
        <v>1231</v>
      </c>
      <c r="D118" s="17">
        <v>8.917</v>
      </c>
      <c r="F118" s="24" t="s">
        <v>1232</v>
      </c>
      <c r="G118" s="17"/>
    </row>
    <row r="119" spans="3:4" ht="12.75" customHeight="1">
      <c r="C119" s="17"/>
      <c r="D119" s="17"/>
    </row>
    <row r="120" ht="12.75" customHeight="1"/>
    <row r="121" spans="1:6" ht="12.75" customHeight="1">
      <c r="A121" s="1" t="s">
        <v>386</v>
      </c>
      <c r="C121" s="24" t="s">
        <v>1233</v>
      </c>
      <c r="D121" s="17">
        <v>8467.283</v>
      </c>
      <c r="F121" s="21"/>
    </row>
    <row r="122" ht="12.75" customHeight="1">
      <c r="C122" s="17"/>
    </row>
    <row r="123" ht="12.75" customHeight="1"/>
    <row r="124" spans="1:7" ht="12.75" customHeight="1">
      <c r="A124" s="1" t="s">
        <v>389</v>
      </c>
      <c r="C124" s="1" t="s">
        <v>1234</v>
      </c>
      <c r="D124" s="17">
        <v>4572.799</v>
      </c>
      <c r="F124" s="1" t="s">
        <v>1235</v>
      </c>
      <c r="G124" s="17"/>
    </row>
    <row r="125" spans="3:4" ht="12.75" customHeight="1">
      <c r="C125" s="17"/>
      <c r="D125" s="17"/>
    </row>
    <row r="126" spans="3:7" ht="12.75" customHeight="1">
      <c r="C126" s="1" t="s">
        <v>1236</v>
      </c>
      <c r="D126" s="17">
        <v>4186.479</v>
      </c>
      <c r="F126" s="12" t="s">
        <v>1237</v>
      </c>
      <c r="G126" s="17"/>
    </row>
    <row r="127" spans="3:4" ht="12.75" customHeight="1">
      <c r="C127" s="17"/>
      <c r="D127" s="17"/>
    </row>
    <row r="128" ht="12.75" customHeight="1"/>
    <row r="129" spans="1:7" ht="12.75" customHeight="1">
      <c r="A129" s="1" t="s">
        <v>1238</v>
      </c>
      <c r="C129" s="1" t="s">
        <v>1239</v>
      </c>
      <c r="D129" s="17">
        <v>2.666</v>
      </c>
      <c r="F129" s="1" t="s">
        <v>1240</v>
      </c>
      <c r="G129" s="17"/>
    </row>
    <row r="130" spans="3:4" ht="12.75" customHeight="1">
      <c r="C130" s="17"/>
      <c r="D130" s="17"/>
    </row>
    <row r="131" spans="3:7" ht="12.75" customHeight="1">
      <c r="C131" s="17" t="s">
        <v>1241</v>
      </c>
      <c r="D131" s="17">
        <v>3.03</v>
      </c>
      <c r="F131" s="1" t="s">
        <v>1242</v>
      </c>
      <c r="G131" s="17"/>
    </row>
    <row r="132" spans="3:4" ht="12.75" customHeight="1">
      <c r="C132" s="17"/>
      <c r="D132" s="17"/>
    </row>
    <row r="133" spans="6:7" ht="12.75" customHeight="1">
      <c r="F133" s="1" t="s">
        <v>1243</v>
      </c>
      <c r="G133" s="17"/>
    </row>
    <row r="134" ht="12.75" customHeight="1">
      <c r="C134" s="17"/>
    </row>
    <row r="136" ht="12.75" customHeight="1">
      <c r="A136" s="1" t="s">
        <v>1244</v>
      </c>
    </row>
    <row r="139" ht="12.75" customHeight="1">
      <c r="A139" s="1" t="s">
        <v>397</v>
      </c>
    </row>
    <row r="145" spans="1:7" ht="12.75" customHeight="1">
      <c r="A145" s="98" t="s">
        <v>1245</v>
      </c>
      <c r="C145" s="98" t="s">
        <v>1145</v>
      </c>
      <c r="D145" s="98"/>
      <c r="F145" s="98" t="s">
        <v>1146</v>
      </c>
      <c r="G145" s="98"/>
    </row>
    <row r="146" spans="3:4" ht="12.75" customHeight="1">
      <c r="C146" s="98"/>
      <c r="D146" s="98"/>
    </row>
    <row r="147" spans="3:4" ht="12.75" customHeight="1">
      <c r="C147" s="98"/>
      <c r="D147" s="98"/>
    </row>
    <row r="148" ht="12.75" customHeight="1">
      <c r="C148" s="115" t="s">
        <v>1147</v>
      </c>
    </row>
    <row r="149" spans="3:6" ht="12.75" customHeight="1">
      <c r="C149" s="115" t="s">
        <v>1246</v>
      </c>
      <c r="F149" s="115" t="s">
        <v>1247</v>
      </c>
    </row>
    <row r="150" spans="1:6" ht="12.75" customHeight="1">
      <c r="A150" s="1" t="s">
        <v>1248</v>
      </c>
      <c r="C150" s="1" t="s">
        <v>1249</v>
      </c>
      <c r="F150" s="1" t="s">
        <v>1250</v>
      </c>
    </row>
    <row r="151" ht="12.75"/>
    <row r="152" spans="1:6" ht="12.75" customHeight="1">
      <c r="A152" s="1" t="s">
        <v>1251</v>
      </c>
      <c r="C152" s="1" t="s">
        <v>1252</v>
      </c>
      <c r="F152" s="1" t="s">
        <v>1253</v>
      </c>
    </row>
    <row r="154" spans="1:6" ht="12.75" customHeight="1">
      <c r="A154" s="1" t="s">
        <v>1254</v>
      </c>
      <c r="C154" s="1" t="s">
        <v>1255</v>
      </c>
      <c r="F154" s="21"/>
    </row>
    <row r="156" spans="1:6" ht="12.75" customHeight="1">
      <c r="A156" s="1" t="s">
        <v>1256</v>
      </c>
      <c r="C156" s="1" t="s">
        <v>1257</v>
      </c>
      <c r="F156" s="1" t="s">
        <v>1258</v>
      </c>
    </row>
    <row r="158" spans="1:6" ht="12.75" customHeight="1">
      <c r="A158" s="56" t="s">
        <v>1259</v>
      </c>
      <c r="C158" s="1" t="s">
        <v>1260</v>
      </c>
      <c r="F158" s="1" t="s">
        <v>1261</v>
      </c>
    </row>
    <row r="159" ht="12.75"/>
    <row r="160" spans="1:6" ht="12.75" customHeight="1">
      <c r="A160" s="56" t="s">
        <v>1262</v>
      </c>
      <c r="C160" s="1" t="s">
        <v>1263</v>
      </c>
      <c r="F160" s="1" t="s">
        <v>1264</v>
      </c>
    </row>
    <row r="161" ht="12.75"/>
    <row r="162" spans="1:6" ht="12.75" customHeight="1">
      <c r="A162" s="1" t="s">
        <v>1265</v>
      </c>
      <c r="C162" s="1" t="s">
        <v>1266</v>
      </c>
      <c r="F162" s="1" t="s">
        <v>1267</v>
      </c>
    </row>
    <row r="163" ht="12.75"/>
    <row r="164" spans="1:6" ht="12.75" customHeight="1">
      <c r="A164" s="1" t="s">
        <v>1268</v>
      </c>
      <c r="C164" s="1" t="s">
        <v>1269</v>
      </c>
      <c r="F164" s="1" t="s">
        <v>1270</v>
      </c>
    </row>
    <row r="166" spans="1:6" ht="12.75" customHeight="1">
      <c r="A166" s="1" t="s">
        <v>1271</v>
      </c>
      <c r="C166" s="1" t="s">
        <v>1272</v>
      </c>
      <c r="F166" s="1" t="s">
        <v>1273</v>
      </c>
    </row>
    <row r="168" spans="1:6" ht="12.75" customHeight="1">
      <c r="A168" s="56" t="s">
        <v>1274</v>
      </c>
      <c r="C168" s="1" t="s">
        <v>1275</v>
      </c>
      <c r="F168" s="1" t="s">
        <v>1276</v>
      </c>
    </row>
    <row r="170" spans="1:6" ht="12.75" customHeight="1">
      <c r="A170" s="56" t="s">
        <v>1277</v>
      </c>
      <c r="C170" s="1" t="s">
        <v>1278</v>
      </c>
      <c r="F170" s="21"/>
    </row>
    <row r="172" spans="1:6" ht="12.75" customHeight="1">
      <c r="A172" s="56" t="s">
        <v>1279</v>
      </c>
      <c r="C172" s="1" t="s">
        <v>1280</v>
      </c>
      <c r="F172" s="1" t="s">
        <v>1281</v>
      </c>
    </row>
    <row r="174" spans="1:6" ht="12.75" customHeight="1">
      <c r="A174" s="1" t="s">
        <v>1282</v>
      </c>
      <c r="C174" s="1" t="s">
        <v>1283</v>
      </c>
      <c r="F174" s="1" t="s">
        <v>1284</v>
      </c>
    </row>
    <row r="176" spans="1:6" ht="12.75" customHeight="1">
      <c r="A176" s="1" t="s">
        <v>1285</v>
      </c>
      <c r="C176" s="1" t="s">
        <v>1286</v>
      </c>
      <c r="F176" s="1" t="s">
        <v>1287</v>
      </c>
    </row>
    <row r="178" spans="1:6" ht="12.75" customHeight="1">
      <c r="A178" s="1" t="s">
        <v>1288</v>
      </c>
      <c r="C178" s="1" t="s">
        <v>1289</v>
      </c>
      <c r="F178" s="1" t="s">
        <v>1290</v>
      </c>
    </row>
    <row r="180" spans="1:6" ht="12.75" customHeight="1">
      <c r="A180" s="1" t="s">
        <v>1291</v>
      </c>
      <c r="C180" s="1" t="s">
        <v>1292</v>
      </c>
      <c r="F180" s="1" t="s">
        <v>1293</v>
      </c>
    </row>
    <row r="182" spans="1:6" ht="12.75" customHeight="1">
      <c r="A182" s="56" t="s">
        <v>1294</v>
      </c>
      <c r="C182" s="1" t="s">
        <v>1295</v>
      </c>
      <c r="F182" s="1" t="s">
        <v>1296</v>
      </c>
    </row>
    <row r="184" spans="1:6" ht="12.75" customHeight="1">
      <c r="A184" s="1" t="s">
        <v>1297</v>
      </c>
      <c r="C184" s="1" t="s">
        <v>1298</v>
      </c>
      <c r="F184" s="21"/>
    </row>
    <row r="185" ht="12.75"/>
    <row r="186" spans="1:6" ht="12.75" customHeight="1">
      <c r="A186" s="1" t="s">
        <v>1299</v>
      </c>
      <c r="C186" s="1" t="s">
        <v>1300</v>
      </c>
      <c r="F186" s="1" t="s">
        <v>1301</v>
      </c>
    </row>
    <row r="187" ht="12.75"/>
    <row r="188" spans="1:6" ht="12.75" customHeight="1">
      <c r="A188" s="1" t="s">
        <v>1302</v>
      </c>
      <c r="C188" s="1" t="s">
        <v>1303</v>
      </c>
      <c r="F188" s="21"/>
    </row>
    <row r="190" spans="1:6" ht="12.75" customHeight="1">
      <c r="A190" s="1" t="s">
        <v>1304</v>
      </c>
      <c r="C190" s="1" t="s">
        <v>1305</v>
      </c>
      <c r="F190" s="1" t="s">
        <v>1306</v>
      </c>
    </row>
    <row r="191" ht="12.75"/>
    <row r="192" spans="1:6" ht="12.75" customHeight="1">
      <c r="A192" s="1" t="s">
        <v>1307</v>
      </c>
      <c r="C192" s="1" t="s">
        <v>1308</v>
      </c>
      <c r="F192" s="1" t="s">
        <v>1309</v>
      </c>
    </row>
    <row r="193" ht="12.75"/>
    <row r="194" spans="1:6" ht="12.75" customHeight="1">
      <c r="A194" s="1" t="s">
        <v>1310</v>
      </c>
      <c r="C194" s="1" t="s">
        <v>1311</v>
      </c>
      <c r="F194" s="21"/>
    </row>
    <row r="196" spans="1:6" ht="12.75" customHeight="1">
      <c r="A196" s="1" t="s">
        <v>1312</v>
      </c>
      <c r="C196" s="1" t="s">
        <v>1313</v>
      </c>
      <c r="F196" s="1" t="s">
        <v>1314</v>
      </c>
    </row>
    <row r="198" spans="1:6" ht="12.75" customHeight="1">
      <c r="A198" s="1" t="s">
        <v>1315</v>
      </c>
      <c r="C198" s="1" t="s">
        <v>1316</v>
      </c>
      <c r="F198" s="1" t="s">
        <v>1317</v>
      </c>
    </row>
    <row r="200" spans="1:6" ht="12.75" customHeight="1">
      <c r="A200" s="1" t="s">
        <v>1318</v>
      </c>
      <c r="C200" s="1" t="s">
        <v>1319</v>
      </c>
      <c r="F200" s="1" t="s">
        <v>1320</v>
      </c>
    </row>
    <row r="202" ht="12.75" customHeight="1">
      <c r="A202" s="1" t="s">
        <v>387</v>
      </c>
    </row>
    <row r="203" spans="1:6" ht="12.75" customHeight="1">
      <c r="A203" s="1" t="s">
        <v>1321</v>
      </c>
      <c r="C203" s="1" t="s">
        <v>1322</v>
      </c>
      <c r="F203" s="1" t="s">
        <v>1323</v>
      </c>
    </row>
    <row r="206" ht="12.75"/>
    <row r="207" ht="12.75"/>
    <row r="208" spans="1:6" ht="12.75" customHeight="1">
      <c r="A208" s="98" t="s">
        <v>578</v>
      </c>
      <c r="C208" s="98" t="s">
        <v>1145</v>
      </c>
      <c r="D208" s="98"/>
      <c r="F208" s="98" t="s">
        <v>1146</v>
      </c>
    </row>
    <row r="209" spans="1:6" ht="12.75" customHeight="1">
      <c r="A209" s="98"/>
      <c r="C209" s="98" t="s">
        <v>576</v>
      </c>
      <c r="F209" s="98" t="s">
        <v>1324</v>
      </c>
    </row>
    <row r="210" ht="12.75" customHeight="1">
      <c r="F210" s="1" t="s">
        <v>1325</v>
      </c>
    </row>
    <row r="211" spans="1:6" ht="12.75" customHeight="1">
      <c r="A211" s="1" t="s">
        <v>1326</v>
      </c>
      <c r="C211" s="1">
        <v>0.367</v>
      </c>
      <c r="F211" s="1">
        <v>0.364</v>
      </c>
    </row>
    <row r="213" spans="1:6" ht="12.75" customHeight="1">
      <c r="A213" s="1" t="s">
        <v>599</v>
      </c>
      <c r="C213" s="1">
        <v>0.658</v>
      </c>
      <c r="F213" s="21"/>
    </row>
    <row r="215" spans="1:6" ht="12.75" customHeight="1">
      <c r="A215" s="1" t="s">
        <v>602</v>
      </c>
      <c r="C215" s="1">
        <v>0.211</v>
      </c>
      <c r="F215" s="1" t="s">
        <v>1327</v>
      </c>
    </row>
    <row r="217" spans="1:6" ht="12.75" customHeight="1">
      <c r="A217" s="1" t="s">
        <v>605</v>
      </c>
      <c r="C217" s="1">
        <v>0.39</v>
      </c>
      <c r="F217" s="1" t="s">
        <v>1328</v>
      </c>
    </row>
    <row r="219" spans="1:6" ht="12.75" customHeight="1">
      <c r="A219" s="1" t="s">
        <v>591</v>
      </c>
      <c r="C219" s="1">
        <v>0.299</v>
      </c>
      <c r="F219" s="21"/>
    </row>
    <row r="221" spans="1:6" ht="12.75" customHeight="1">
      <c r="A221" s="1" t="s">
        <v>613</v>
      </c>
      <c r="C221" s="1">
        <v>0.588</v>
      </c>
      <c r="F221" s="1" t="s">
        <v>1329</v>
      </c>
    </row>
    <row r="223" spans="1:6" ht="12.75" customHeight="1">
      <c r="A223" s="1" t="s">
        <v>616</v>
      </c>
      <c r="C223" s="1">
        <v>0.191</v>
      </c>
      <c r="F223" s="1" t="s">
        <v>1330</v>
      </c>
    </row>
    <row r="225" spans="1:6" ht="12.75" customHeight="1">
      <c r="A225" s="1" t="s">
        <v>620</v>
      </c>
      <c r="C225" s="1">
        <v>0.242</v>
      </c>
      <c r="F225" s="21"/>
    </row>
    <row r="227" spans="1:6" ht="12.75" customHeight="1">
      <c r="A227" s="1" t="s">
        <v>623</v>
      </c>
      <c r="C227" s="1">
        <v>0.271</v>
      </c>
      <c r="F227" s="1" t="s">
        <v>1331</v>
      </c>
    </row>
    <row r="229" spans="1:6" ht="12.75" customHeight="1">
      <c r="A229" s="1" t="s">
        <v>628</v>
      </c>
      <c r="C229" s="1">
        <v>0.339</v>
      </c>
      <c r="F229" s="21"/>
    </row>
    <row r="231" spans="1:6" ht="12.75" customHeight="1">
      <c r="A231" s="1" t="s">
        <v>630</v>
      </c>
      <c r="C231" s="1">
        <v>0.17300000000000001</v>
      </c>
      <c r="F231" s="1" t="s">
        <v>1332</v>
      </c>
    </row>
    <row r="233" spans="1:6" ht="12.75" customHeight="1">
      <c r="A233" s="1" t="s">
        <v>637</v>
      </c>
      <c r="C233" s="1">
        <v>0.21</v>
      </c>
      <c r="F233" s="1" t="s">
        <v>1333</v>
      </c>
    </row>
    <row r="235" spans="1:6" ht="12.75" customHeight="1">
      <c r="A235" s="1" t="s">
        <v>640</v>
      </c>
      <c r="C235" s="1">
        <v>0.285</v>
      </c>
      <c r="F235" s="1" t="s">
        <v>1334</v>
      </c>
    </row>
    <row r="237" spans="1:6" ht="12.75" customHeight="1">
      <c r="A237" s="1" t="s">
        <v>644</v>
      </c>
      <c r="C237" s="1">
        <v>0.309</v>
      </c>
      <c r="F237" s="1" t="s">
        <v>1335</v>
      </c>
    </row>
    <row r="239" spans="1:6" ht="12.75" customHeight="1">
      <c r="A239" s="1" t="s">
        <v>648</v>
      </c>
      <c r="C239" s="1">
        <v>0.372</v>
      </c>
      <c r="F239" s="1" t="s">
        <v>1336</v>
      </c>
    </row>
    <row r="241" spans="1:6" ht="12.75" customHeight="1">
      <c r="A241" s="1" t="s">
        <v>650</v>
      </c>
      <c r="C241" s="1">
        <v>0.434</v>
      </c>
      <c r="F241" s="1" t="s">
        <v>1337</v>
      </c>
    </row>
    <row r="243" spans="1:6" ht="12.75" customHeight="1">
      <c r="A243" s="1" t="s">
        <v>668</v>
      </c>
      <c r="C243" s="1">
        <v>0.588</v>
      </c>
      <c r="F243" s="1" t="s">
        <v>1338</v>
      </c>
    </row>
    <row r="245" spans="1:6" ht="12.75" customHeight="1">
      <c r="A245" s="1" t="s">
        <v>1339</v>
      </c>
      <c r="C245" s="1">
        <v>0.588</v>
      </c>
      <c r="F245" s="1" t="s">
        <v>1340</v>
      </c>
    </row>
    <row r="247" spans="1:6" ht="12.75" customHeight="1">
      <c r="A247" s="1" t="s">
        <v>678</v>
      </c>
      <c r="C247" s="1">
        <v>0.681</v>
      </c>
      <c r="F247" s="21"/>
    </row>
    <row r="249" spans="1:6" ht="12.75" customHeight="1">
      <c r="A249" s="1" t="s">
        <v>1341</v>
      </c>
      <c r="C249" s="1">
        <v>0.841</v>
      </c>
      <c r="F249" s="1" t="s">
        <v>1342</v>
      </c>
    </row>
    <row r="251" spans="1:6" ht="12.75" customHeight="1">
      <c r="A251" s="1" t="s">
        <v>681</v>
      </c>
      <c r="C251" s="1">
        <v>0.681</v>
      </c>
      <c r="F251" s="21"/>
    </row>
    <row r="253" spans="1:6" ht="12.75" customHeight="1">
      <c r="A253" s="1" t="s">
        <v>1343</v>
      </c>
      <c r="C253" s="1">
        <v>1.106</v>
      </c>
      <c r="F253" s="1" t="s">
        <v>1344</v>
      </c>
    </row>
    <row r="255" spans="1:6" ht="12.75" customHeight="1">
      <c r="A255" s="1" t="s">
        <v>692</v>
      </c>
      <c r="C255" s="1">
        <v>1.217</v>
      </c>
      <c r="F255" s="1" t="s">
        <v>689</v>
      </c>
    </row>
    <row r="257" spans="1:6" ht="12.75" customHeight="1">
      <c r="A257" s="1" t="s">
        <v>1345</v>
      </c>
      <c r="C257" s="1">
        <v>1.238</v>
      </c>
      <c r="F257" s="1" t="s">
        <v>1346</v>
      </c>
    </row>
    <row r="259" spans="1:6" ht="12.75" customHeight="1">
      <c r="A259" s="1" t="s">
        <v>700</v>
      </c>
      <c r="C259" s="1">
        <v>1.55</v>
      </c>
      <c r="F259" s="1" t="s">
        <v>1347</v>
      </c>
    </row>
    <row r="261" spans="1:6" ht="12.75" customHeight="1">
      <c r="A261" s="1" t="s">
        <v>810</v>
      </c>
      <c r="C261" s="1">
        <v>0.865</v>
      </c>
      <c r="F261" s="1">
        <v>0.341</v>
      </c>
    </row>
    <row r="263" spans="1:6" ht="12.75" customHeight="1">
      <c r="A263" s="1" t="s">
        <v>1348</v>
      </c>
      <c r="C263" s="21"/>
      <c r="F263" s="1" t="s">
        <v>1349</v>
      </c>
    </row>
    <row r="265" spans="1:6" ht="12.75" customHeight="1">
      <c r="A265" s="1" t="s">
        <v>1350</v>
      </c>
      <c r="C265" s="21"/>
      <c r="F265" s="1" t="s">
        <v>1351</v>
      </c>
    </row>
    <row r="266" ht="12.75" customHeight="1"/>
    <row r="267" spans="1:6" ht="12.75" customHeight="1">
      <c r="A267" s="1" t="s">
        <v>1352</v>
      </c>
      <c r="C267" s="21"/>
      <c r="F267" s="1" t="s">
        <v>1353</v>
      </c>
    </row>
    <row r="269" spans="1:6" ht="12.75" customHeight="1">
      <c r="A269" s="1" t="s">
        <v>815</v>
      </c>
      <c r="C269" s="21"/>
      <c r="F269" s="1" t="s">
        <v>1354</v>
      </c>
    </row>
    <row r="273" spans="1:6" ht="12.75" customHeight="1">
      <c r="A273" s="98" t="s">
        <v>708</v>
      </c>
      <c r="C273" s="98" t="s">
        <v>1145</v>
      </c>
      <c r="D273" s="98"/>
      <c r="F273" s="98" t="s">
        <v>1146</v>
      </c>
    </row>
    <row r="274" spans="3:6" ht="12.75" customHeight="1">
      <c r="C274" s="98" t="s">
        <v>576</v>
      </c>
      <c r="F274" s="98" t="s">
        <v>1355</v>
      </c>
    </row>
    <row r="275" spans="1:6" ht="12.75" customHeight="1">
      <c r="A275" s="1" t="s">
        <v>710</v>
      </c>
      <c r="C275" s="1">
        <v>0.555</v>
      </c>
      <c r="F275" s="21"/>
    </row>
    <row r="277" spans="1:6" ht="12.75" customHeight="1">
      <c r="A277" s="1" t="s">
        <v>711</v>
      </c>
      <c r="C277" s="1">
        <v>0.866</v>
      </c>
      <c r="F277" s="21"/>
    </row>
    <row r="279" spans="1:6" ht="12.75" customHeight="1">
      <c r="A279" s="1" t="s">
        <v>713</v>
      </c>
      <c r="C279" s="1">
        <v>0.17200000000000001</v>
      </c>
      <c r="F279" s="21"/>
    </row>
    <row r="281" spans="1:6" ht="12.75" customHeight="1">
      <c r="A281" s="1" t="s">
        <v>715</v>
      </c>
      <c r="C281" s="1">
        <v>0.441</v>
      </c>
      <c r="F281" s="21"/>
    </row>
    <row r="283" spans="1:6" ht="12.75" customHeight="1">
      <c r="A283" s="1" t="s">
        <v>1356</v>
      </c>
      <c r="C283" s="1">
        <v>0.203</v>
      </c>
      <c r="F283" s="21"/>
    </row>
    <row r="285" spans="1:6" ht="12.75" customHeight="1">
      <c r="A285" s="1" t="s">
        <v>632</v>
      </c>
      <c r="C285" s="1">
        <v>0.203</v>
      </c>
      <c r="F285" s="21"/>
    </row>
    <row r="287" spans="1:6" ht="12.75" customHeight="1">
      <c r="A287" s="1" t="s">
        <v>720</v>
      </c>
      <c r="C287" s="1">
        <v>0.23900000000000002</v>
      </c>
      <c r="F287" s="1" t="s">
        <v>1357</v>
      </c>
    </row>
    <row r="289" spans="1:6" ht="12.75" customHeight="1">
      <c r="A289" s="1" t="s">
        <v>722</v>
      </c>
      <c r="C289" s="1">
        <v>0.623</v>
      </c>
      <c r="F289" s="1" t="s">
        <v>1358</v>
      </c>
    </row>
    <row r="291" spans="1:6" ht="12.75" customHeight="1">
      <c r="A291" s="1" t="s">
        <v>726</v>
      </c>
      <c r="C291" s="1">
        <v>1.278</v>
      </c>
      <c r="F291" s="88" t="s">
        <v>1359</v>
      </c>
    </row>
    <row r="293" spans="1:6" ht="12.75" customHeight="1">
      <c r="A293" s="1" t="s">
        <v>731</v>
      </c>
      <c r="C293" s="1">
        <v>0.683</v>
      </c>
      <c r="F293" s="21"/>
    </row>
    <row r="295" spans="1:6" ht="12.75" customHeight="1">
      <c r="A295" s="1" t="s">
        <v>732</v>
      </c>
      <c r="C295" s="1">
        <v>0.441</v>
      </c>
      <c r="F295" s="1" t="s">
        <v>1360</v>
      </c>
    </row>
    <row r="297" spans="1:6" ht="12.75" customHeight="1">
      <c r="A297" s="1" t="s">
        <v>604</v>
      </c>
      <c r="C297" s="1">
        <v>0.23900000000000002</v>
      </c>
      <c r="F297" s="21"/>
    </row>
    <row r="299" spans="1:6" ht="12.75" customHeight="1">
      <c r="A299" s="1" t="s">
        <v>735</v>
      </c>
      <c r="C299" s="21"/>
      <c r="F299" s="1" t="s">
        <v>1361</v>
      </c>
    </row>
    <row r="301" spans="1:6" ht="12.75" customHeight="1">
      <c r="A301" s="1" t="s">
        <v>739</v>
      </c>
      <c r="C301" s="1">
        <v>0.681</v>
      </c>
      <c r="F301" s="21"/>
    </row>
    <row r="303" spans="1:6" ht="12.75" customHeight="1">
      <c r="A303" s="1" t="s">
        <v>741</v>
      </c>
      <c r="C303" s="1">
        <v>0.992</v>
      </c>
      <c r="F303" s="21"/>
    </row>
    <row r="305" spans="1:6" ht="12.75" customHeight="1">
      <c r="A305" s="1" t="s">
        <v>742</v>
      </c>
      <c r="C305" s="1">
        <v>0.52</v>
      </c>
      <c r="F305" s="1" t="s">
        <v>1362</v>
      </c>
    </row>
    <row r="307" spans="1:6" ht="12.75" customHeight="1">
      <c r="A307" s="1" t="s">
        <v>752</v>
      </c>
      <c r="C307" s="1">
        <v>0.342</v>
      </c>
      <c r="F307" s="1" t="s">
        <v>1363</v>
      </c>
    </row>
    <row r="309" spans="1:6" ht="12.75" customHeight="1">
      <c r="A309" s="1" t="s">
        <v>755</v>
      </c>
      <c r="C309" s="1">
        <v>0.725</v>
      </c>
      <c r="F309" s="88" t="s">
        <v>1364</v>
      </c>
    </row>
    <row r="311" spans="1:6" ht="12.75" customHeight="1">
      <c r="A311" s="1" t="s">
        <v>757</v>
      </c>
      <c r="C311" s="1">
        <v>1.037</v>
      </c>
      <c r="F311" s="21"/>
    </row>
    <row r="313" spans="1:6" ht="12.75" customHeight="1">
      <c r="A313" s="1" t="s">
        <v>761</v>
      </c>
      <c r="C313" s="1">
        <v>0.601</v>
      </c>
      <c r="F313" s="1" t="s">
        <v>1365</v>
      </c>
    </row>
    <row r="315" spans="1:6" ht="12.75" customHeight="1">
      <c r="A315" s="1" t="s">
        <v>1366</v>
      </c>
      <c r="C315" s="1">
        <v>1.38</v>
      </c>
      <c r="F315" s="1" t="s">
        <v>1367</v>
      </c>
    </row>
    <row r="317" spans="1:6" ht="12.75" customHeight="1">
      <c r="A317" s="1" t="s">
        <v>763</v>
      </c>
      <c r="C317" s="1">
        <v>0.536</v>
      </c>
      <c r="F317" s="1" t="s">
        <v>1368</v>
      </c>
    </row>
    <row r="319" spans="1:6" ht="12.75" customHeight="1">
      <c r="A319" s="1" t="s">
        <v>766</v>
      </c>
      <c r="C319" s="1">
        <v>0.92</v>
      </c>
      <c r="F319" s="1" t="s">
        <v>1369</v>
      </c>
    </row>
    <row r="321" spans="1:6" ht="12.75" customHeight="1">
      <c r="A321" s="1" t="s">
        <v>767</v>
      </c>
      <c r="C321" s="1">
        <v>1.231</v>
      </c>
      <c r="F321" s="21"/>
    </row>
    <row r="323" spans="1:6" ht="12.75" customHeight="1">
      <c r="A323" s="1" t="s">
        <v>768</v>
      </c>
      <c r="C323" s="21"/>
      <c r="F323" s="88" t="s">
        <v>1370</v>
      </c>
    </row>
    <row r="325" spans="1:6" ht="12.75" customHeight="1">
      <c r="A325" s="1" t="s">
        <v>770</v>
      </c>
      <c r="C325" s="1">
        <v>1.208</v>
      </c>
      <c r="F325" s="1" t="s">
        <v>1371</v>
      </c>
    </row>
    <row r="327" spans="1:6" ht="12.75" customHeight="1">
      <c r="A327" s="1" t="s">
        <v>773</v>
      </c>
      <c r="C327" s="1">
        <v>0.536</v>
      </c>
      <c r="F327" s="1" t="s">
        <v>1372</v>
      </c>
    </row>
    <row r="329" spans="1:6" ht="12.75" customHeight="1">
      <c r="A329" s="1" t="s">
        <v>1373</v>
      </c>
      <c r="C329" s="1">
        <v>8.315</v>
      </c>
      <c r="F329" s="1" t="s">
        <v>1374</v>
      </c>
    </row>
    <row r="331" spans="1:6" ht="12.75" customHeight="1">
      <c r="A331" s="1" t="s">
        <v>1375</v>
      </c>
      <c r="C331" s="1">
        <v>3.416</v>
      </c>
      <c r="F331" s="21"/>
    </row>
    <row r="333" spans="1:6" ht="12.75" customHeight="1">
      <c r="A333" s="1" t="s">
        <v>1376</v>
      </c>
      <c r="C333" s="1">
        <v>4.725</v>
      </c>
      <c r="F333" s="21"/>
    </row>
    <row r="335" spans="1:6" ht="12.75" customHeight="1">
      <c r="A335" s="1" t="s">
        <v>802</v>
      </c>
      <c r="C335" s="1">
        <v>2.363</v>
      </c>
      <c r="F335" s="21"/>
    </row>
    <row r="337" spans="1:6" ht="12.75" customHeight="1">
      <c r="A337" s="1" t="s">
        <v>803</v>
      </c>
      <c r="C337" s="1">
        <v>0.467</v>
      </c>
      <c r="F337" s="21"/>
    </row>
    <row r="339" spans="1:6" ht="12.75" customHeight="1">
      <c r="A339" s="1" t="s">
        <v>805</v>
      </c>
      <c r="C339" s="1">
        <v>0.655</v>
      </c>
      <c r="F339" s="1" t="s">
        <v>1377</v>
      </c>
    </row>
    <row r="341" spans="1:6" ht="12.75" customHeight="1">
      <c r="A341" s="1" t="s">
        <v>808</v>
      </c>
      <c r="F341" s="1" t="s">
        <v>1378</v>
      </c>
    </row>
    <row r="343" spans="1:6" ht="12.75" customHeight="1">
      <c r="A343" s="1" t="s">
        <v>811</v>
      </c>
      <c r="C343" s="1">
        <v>0.902</v>
      </c>
      <c r="F343" s="88" t="s">
        <v>1379</v>
      </c>
    </row>
    <row r="346" ht="12.75" customHeight="1">
      <c r="B346" s="98" t="s">
        <v>1380</v>
      </c>
    </row>
    <row r="348" ht="12.75" customHeight="1">
      <c r="A348" s="98" t="s">
        <v>1381</v>
      </c>
    </row>
    <row r="349" spans="1:3" ht="12.75" customHeight="1">
      <c r="A349" s="98" t="s">
        <v>1382</v>
      </c>
      <c r="C349" s="98" t="s">
        <v>1383</v>
      </c>
    </row>
    <row r="350" ht="12.75" customHeight="1">
      <c r="C350" s="98" t="s">
        <v>1384</v>
      </c>
    </row>
    <row r="351" ht="12.75" customHeight="1">
      <c r="A351" s="118" t="s">
        <v>1385</v>
      </c>
    </row>
    <row r="352" ht="12.75" customHeight="1">
      <c r="C352" s="1" t="s">
        <v>1386</v>
      </c>
    </row>
    <row r="353" ht="12.75" customHeight="1">
      <c r="A353" s="118" t="s">
        <v>1387</v>
      </c>
    </row>
    <row r="354" ht="12.75" customHeight="1">
      <c r="C354" s="1" t="s">
        <v>1388</v>
      </c>
    </row>
    <row r="355" ht="12.75" customHeight="1">
      <c r="A355" s="118" t="s">
        <v>1389</v>
      </c>
    </row>
    <row r="356" ht="12.75" customHeight="1">
      <c r="C356" s="1" t="s">
        <v>1390</v>
      </c>
    </row>
    <row r="357" ht="12.75" customHeight="1">
      <c r="A357" s="118" t="s">
        <v>1391</v>
      </c>
    </row>
    <row r="358" ht="12.75" customHeight="1">
      <c r="A358" s="118"/>
    </row>
    <row r="359" ht="12.75" customHeight="1">
      <c r="A359" s="118" t="s">
        <v>1392</v>
      </c>
    </row>
    <row r="360" ht="12.75" customHeight="1">
      <c r="C360" s="1" t="s">
        <v>1393</v>
      </c>
    </row>
    <row r="361" spans="1:3" ht="12.75" customHeight="1">
      <c r="A361" s="118" t="s">
        <v>1394</v>
      </c>
      <c r="C361" s="1" t="s">
        <v>1395</v>
      </c>
    </row>
    <row r="362" ht="12.75" customHeight="1">
      <c r="C362" s="1" t="s">
        <v>1396</v>
      </c>
    </row>
    <row r="363" ht="12.75" customHeight="1">
      <c r="A363" s="118" t="s">
        <v>1397</v>
      </c>
    </row>
    <row r="364" ht="12.75" customHeight="1">
      <c r="C364" s="1" t="s">
        <v>1398</v>
      </c>
    </row>
    <row r="365" ht="12.75" customHeight="1">
      <c r="A365" s="118" t="s">
        <v>1399</v>
      </c>
    </row>
    <row r="366" ht="12.75" customHeight="1">
      <c r="C366" s="1" t="s">
        <v>1400</v>
      </c>
    </row>
    <row r="367" ht="12.75" customHeight="1">
      <c r="A367" s="118" t="s">
        <v>1401</v>
      </c>
    </row>
    <row r="368" ht="12.75" customHeight="1">
      <c r="A368" s="118"/>
    </row>
    <row r="369" ht="12.75" customHeight="1">
      <c r="A369" s="118" t="s">
        <v>1402</v>
      </c>
    </row>
    <row r="370" ht="12.75" customHeight="1">
      <c r="C370" s="1" t="s">
        <v>1403</v>
      </c>
    </row>
    <row r="371" ht="12.75" customHeight="1">
      <c r="A371" s="118" t="s">
        <v>1404</v>
      </c>
    </row>
    <row r="372" ht="12.75" customHeight="1">
      <c r="C372" s="1" t="s">
        <v>1405</v>
      </c>
    </row>
    <row r="373" ht="12.75" customHeight="1">
      <c r="A373" s="118" t="s">
        <v>1406</v>
      </c>
    </row>
    <row r="374" ht="12.75" customHeight="1">
      <c r="C374" s="1" t="s">
        <v>1407</v>
      </c>
    </row>
    <row r="375" ht="12.75" customHeight="1">
      <c r="A375" s="118" t="s">
        <v>1408</v>
      </c>
    </row>
    <row r="376" ht="12.75" customHeight="1">
      <c r="C376" s="1" t="s">
        <v>1409</v>
      </c>
    </row>
    <row r="377" ht="12.75" customHeight="1">
      <c r="A377" s="118" t="s">
        <v>1410</v>
      </c>
    </row>
    <row r="378" ht="12.75" customHeight="1">
      <c r="C378" s="1" t="s">
        <v>1411</v>
      </c>
    </row>
    <row r="379" ht="12.75" customHeight="1">
      <c r="A379" s="118" t="s">
        <v>1412</v>
      </c>
    </row>
    <row r="380" ht="12.75" customHeight="1">
      <c r="C380" s="1" t="s">
        <v>1413</v>
      </c>
    </row>
    <row r="381" ht="12.75" customHeight="1">
      <c r="A381" s="118" t="s">
        <v>1414</v>
      </c>
    </row>
    <row r="383" ht="12.75" customHeight="1">
      <c r="A383" s="118" t="s">
        <v>1415</v>
      </c>
    </row>
    <row r="385" ht="12.75" customHeight="1">
      <c r="A385" s="118" t="s">
        <v>1416</v>
      </c>
    </row>
    <row r="387" ht="12.75" customHeight="1">
      <c r="A387" s="118" t="s">
        <v>1417</v>
      </c>
    </row>
    <row r="389" ht="12.75" customHeight="1">
      <c r="A389" s="118" t="s">
        <v>1418</v>
      </c>
    </row>
    <row r="391" ht="12.75" customHeight="1">
      <c r="A391" s="118" t="s">
        <v>1419</v>
      </c>
    </row>
    <row r="395" spans="1:3" ht="12.75" customHeight="1">
      <c r="A395" s="98" t="s">
        <v>1420</v>
      </c>
      <c r="C395" s="98" t="s">
        <v>1421</v>
      </c>
    </row>
    <row r="396" spans="1:3" ht="12.75" customHeight="1">
      <c r="A396" s="1" t="s">
        <v>1422</v>
      </c>
      <c r="C396" s="98"/>
    </row>
    <row r="397" spans="1:6" ht="12.75" customHeight="1">
      <c r="A397" s="1" t="s">
        <v>1423</v>
      </c>
      <c r="C397" s="1" t="s">
        <v>1424</v>
      </c>
      <c r="D397" s="1" t="s">
        <v>1425</v>
      </c>
      <c r="E397" s="99"/>
      <c r="F397" s="99" t="s">
        <v>1102</v>
      </c>
    </row>
    <row r="399" spans="1:6" ht="12.75" customHeight="1">
      <c r="A399" s="1" t="s">
        <v>1426</v>
      </c>
      <c r="C399" s="1" t="s">
        <v>1427</v>
      </c>
      <c r="D399" s="1" t="s">
        <v>1103</v>
      </c>
      <c r="F399" s="1" t="s">
        <v>1104</v>
      </c>
    </row>
    <row r="401" spans="1:6" ht="12.75" customHeight="1">
      <c r="A401" s="1" t="s">
        <v>1428</v>
      </c>
      <c r="C401" s="1" t="s">
        <v>1429</v>
      </c>
      <c r="D401" s="1" t="s">
        <v>1430</v>
      </c>
      <c r="F401" s="1" t="s">
        <v>1106</v>
      </c>
    </row>
    <row r="403" spans="1:6" ht="12.75" customHeight="1">
      <c r="A403" s="1" t="s">
        <v>1431</v>
      </c>
      <c r="C403" s="1" t="s">
        <v>1432</v>
      </c>
      <c r="D403" s="1" t="s">
        <v>1107</v>
      </c>
      <c r="F403" s="1" t="s">
        <v>1108</v>
      </c>
    </row>
    <row r="405" ht="12.75" customHeight="1">
      <c r="A405" s="1" t="s">
        <v>1433</v>
      </c>
    </row>
    <row r="407" spans="1:4" ht="12.75" customHeight="1">
      <c r="A407" s="1" t="s">
        <v>1434</v>
      </c>
      <c r="C407" s="98" t="s">
        <v>1435</v>
      </c>
      <c r="D407" s="103">
        <v>13.1</v>
      </c>
    </row>
    <row r="409" ht="12.75" customHeight="1">
      <c r="A409" s="1" t="s">
        <v>1436</v>
      </c>
    </row>
    <row r="411" ht="12.75" customHeight="1">
      <c r="A411" s="1" t="s">
        <v>1437</v>
      </c>
    </row>
    <row r="413" ht="12.75" customHeight="1">
      <c r="A413" s="1" t="s">
        <v>1438</v>
      </c>
    </row>
    <row r="416" spans="1:7" ht="12.75" customHeight="1">
      <c r="A416" s="98" t="s">
        <v>1439</v>
      </c>
      <c r="C416" s="98" t="s">
        <v>1145</v>
      </c>
      <c r="D416" s="98"/>
      <c r="F416" s="98" t="s">
        <v>1146</v>
      </c>
      <c r="G416" s="98" t="s">
        <v>1440</v>
      </c>
    </row>
    <row r="417" spans="3:7" ht="12.75" customHeight="1">
      <c r="C417" s="1" t="s">
        <v>1247</v>
      </c>
      <c r="F417" s="1" t="s">
        <v>1441</v>
      </c>
      <c r="G417" s="1" t="s">
        <v>1442</v>
      </c>
    </row>
    <row r="418" spans="1:7" ht="12.75" customHeight="1">
      <c r="A418" s="1" t="s">
        <v>1443</v>
      </c>
      <c r="C418" s="1" t="s">
        <v>1444</v>
      </c>
      <c r="F418" s="1" t="s">
        <v>1445</v>
      </c>
      <c r="G418" s="1" t="s">
        <v>1446</v>
      </c>
    </row>
    <row r="420" spans="1:6" ht="12.75" customHeight="1">
      <c r="A420" s="1" t="s">
        <v>1447</v>
      </c>
      <c r="C420" s="1" t="s">
        <v>1448</v>
      </c>
      <c r="F420" s="1" t="s">
        <v>1449</v>
      </c>
    </row>
    <row r="422" spans="1:7" ht="12.75" customHeight="1">
      <c r="A422" s="1" t="s">
        <v>1450</v>
      </c>
      <c r="C422" s="1" t="s">
        <v>1451</v>
      </c>
      <c r="F422" s="1" t="s">
        <v>1452</v>
      </c>
      <c r="G422" s="1" t="s">
        <v>1453</v>
      </c>
    </row>
    <row r="424" spans="1:7" ht="12.75" customHeight="1">
      <c r="A424" s="1" t="s">
        <v>1454</v>
      </c>
      <c r="C424" s="1" t="s">
        <v>1455</v>
      </c>
      <c r="F424" s="1" t="s">
        <v>1456</v>
      </c>
      <c r="G424" s="1" t="s">
        <v>1457</v>
      </c>
    </row>
    <row r="426" spans="1:6" ht="12.75" customHeight="1">
      <c r="A426" s="1" t="s">
        <v>1458</v>
      </c>
      <c r="C426" s="1" t="s">
        <v>1459</v>
      </c>
      <c r="F426" s="1" t="s">
        <v>1460</v>
      </c>
    </row>
    <row r="428" spans="1:7" ht="12.75" customHeight="1">
      <c r="A428" s="1" t="s">
        <v>1461</v>
      </c>
      <c r="C428" s="1" t="s">
        <v>1462</v>
      </c>
      <c r="F428" s="1" t="s">
        <v>1463</v>
      </c>
      <c r="G428" s="1" t="s">
        <v>1464</v>
      </c>
    </row>
    <row r="430" spans="1:7" ht="12.75" customHeight="1">
      <c r="A430" s="1" t="s">
        <v>1465</v>
      </c>
      <c r="C430" s="1" t="s">
        <v>1466</v>
      </c>
      <c r="F430" s="1" t="s">
        <v>1467</v>
      </c>
      <c r="G430" s="1" t="s">
        <v>1468</v>
      </c>
    </row>
    <row r="432" spans="1:6" ht="12.75" customHeight="1">
      <c r="A432" s="1" t="s">
        <v>1469</v>
      </c>
      <c r="C432" s="1" t="s">
        <v>1470</v>
      </c>
      <c r="F432" s="1" t="s">
        <v>1471</v>
      </c>
    </row>
    <row r="434" spans="1:6" ht="12.75" customHeight="1">
      <c r="A434" s="1" t="s">
        <v>1472</v>
      </c>
      <c r="C434" s="1" t="s">
        <v>1473</v>
      </c>
      <c r="F434" s="1" t="s">
        <v>1474</v>
      </c>
    </row>
    <row r="436" spans="1:6" ht="12.75" customHeight="1">
      <c r="A436" s="1" t="s">
        <v>1475</v>
      </c>
      <c r="C436" s="1" t="s">
        <v>1476</v>
      </c>
      <c r="F436" s="1" t="s">
        <v>1477</v>
      </c>
    </row>
    <row r="438" spans="1:7" ht="12.75" customHeight="1">
      <c r="A438" s="1" t="s">
        <v>1478</v>
      </c>
      <c r="C438" s="1" t="s">
        <v>1479</v>
      </c>
      <c r="F438" s="1" t="s">
        <v>1480</v>
      </c>
      <c r="G438" s="1" t="s">
        <v>1481</v>
      </c>
    </row>
    <row r="440" spans="1:3" ht="12.75" customHeight="1">
      <c r="A440" s="1" t="s">
        <v>1482</v>
      </c>
      <c r="C440" s="1" t="s">
        <v>1483</v>
      </c>
    </row>
    <row r="442" spans="1:3" ht="12.75" customHeight="1">
      <c r="A442" s="1" t="s">
        <v>1484</v>
      </c>
      <c r="C442" s="1" t="s">
        <v>1485</v>
      </c>
    </row>
    <row r="444" spans="1:6" ht="12.75" customHeight="1">
      <c r="A444" s="1" t="s">
        <v>1486</v>
      </c>
      <c r="C444" s="1" t="s">
        <v>1487</v>
      </c>
      <c r="F444" s="1" t="s">
        <v>1488</v>
      </c>
    </row>
    <row r="446" spans="1:7" ht="12.75" customHeight="1">
      <c r="A446" s="1" t="s">
        <v>1489</v>
      </c>
      <c r="C446" s="1" t="s">
        <v>1490</v>
      </c>
      <c r="F446" s="1" t="s">
        <v>1491</v>
      </c>
      <c r="G446" s="1" t="s">
        <v>1492</v>
      </c>
    </row>
    <row r="448" spans="1:7" ht="12.75" customHeight="1">
      <c r="A448" s="1" t="s">
        <v>1493</v>
      </c>
      <c r="C448" s="1" t="s">
        <v>1494</v>
      </c>
      <c r="F448" s="1" t="s">
        <v>1495</v>
      </c>
      <c r="G448" s="1" t="s">
        <v>1496</v>
      </c>
    </row>
    <row r="450" spans="1:7" ht="12.75" customHeight="1">
      <c r="A450" s="1" t="s">
        <v>1497</v>
      </c>
      <c r="C450" s="1" t="s">
        <v>1498</v>
      </c>
      <c r="F450" s="1" t="s">
        <v>1499</v>
      </c>
      <c r="G450" s="1" t="s">
        <v>1500</v>
      </c>
    </row>
    <row r="451" ht="12.75" customHeight="1">
      <c r="G451" s="1" t="s">
        <v>1501</v>
      </c>
    </row>
    <row r="453" spans="1:7" ht="12.75" customHeight="1">
      <c r="A453" s="1" t="s">
        <v>1502</v>
      </c>
      <c r="C453" s="1" t="s">
        <v>1503</v>
      </c>
      <c r="F453" s="1" t="s">
        <v>1504</v>
      </c>
      <c r="G453" s="1" t="s">
        <v>1505</v>
      </c>
    </row>
    <row r="455" spans="1:7" ht="12.75" customHeight="1">
      <c r="A455" s="1" t="s">
        <v>1506</v>
      </c>
      <c r="C455" s="1" t="s">
        <v>1507</v>
      </c>
      <c r="F455" s="1" t="s">
        <v>1508</v>
      </c>
      <c r="G455" s="1" t="s">
        <v>1509</v>
      </c>
    </row>
    <row r="457" spans="1:7" ht="12.75" customHeight="1">
      <c r="A457" s="1" t="s">
        <v>1510</v>
      </c>
      <c r="C457" s="1" t="s">
        <v>1511</v>
      </c>
      <c r="F457" s="1" t="s">
        <v>1512</v>
      </c>
      <c r="G457" s="1" t="s">
        <v>1513</v>
      </c>
    </row>
    <row r="459" spans="1:7" ht="12.75" customHeight="1">
      <c r="A459" s="1" t="s">
        <v>1514</v>
      </c>
      <c r="C459" s="1" t="s">
        <v>1515</v>
      </c>
      <c r="F459" s="1" t="s">
        <v>1516</v>
      </c>
      <c r="G459" s="1" t="s">
        <v>1517</v>
      </c>
    </row>
    <row r="461" spans="1:7" ht="12.75" customHeight="1">
      <c r="A461" s="1" t="s">
        <v>1518</v>
      </c>
      <c r="C461" s="1" t="s">
        <v>1519</v>
      </c>
      <c r="F461" s="1" t="s">
        <v>1520</v>
      </c>
      <c r="G461" s="1" t="s">
        <v>1521</v>
      </c>
    </row>
    <row r="463" spans="1:7" ht="12.75" customHeight="1">
      <c r="A463" s="1" t="s">
        <v>1522</v>
      </c>
      <c r="C463" s="1" t="s">
        <v>1523</v>
      </c>
      <c r="F463" s="1" t="s">
        <v>1524</v>
      </c>
      <c r="G463" s="1" t="s">
        <v>1525</v>
      </c>
    </row>
    <row r="465" spans="1:7" ht="12.75" customHeight="1">
      <c r="A465" s="1" t="s">
        <v>1526</v>
      </c>
      <c r="C465" s="1" t="s">
        <v>1527</v>
      </c>
      <c r="F465" s="1" t="s">
        <v>1528</v>
      </c>
      <c r="G465" s="1" t="s">
        <v>1529</v>
      </c>
    </row>
    <row r="467" spans="1:3" ht="12.75" customHeight="1">
      <c r="A467" s="1" t="s">
        <v>1530</v>
      </c>
      <c r="B467" s="1" t="s">
        <v>1531</v>
      </c>
      <c r="C467" s="1" t="s">
        <v>1532</v>
      </c>
    </row>
    <row r="469" spans="1:3" ht="12.75" customHeight="1">
      <c r="A469" s="1" t="s">
        <v>1533</v>
      </c>
      <c r="C469" s="1" t="s">
        <v>1534</v>
      </c>
    </row>
    <row r="471" spans="1:6" ht="12.75" customHeight="1">
      <c r="A471" s="1" t="s">
        <v>1454</v>
      </c>
      <c r="C471" s="1" t="s">
        <v>1535</v>
      </c>
      <c r="F471" s="1" t="s">
        <v>1536</v>
      </c>
    </row>
    <row r="473" spans="1:6" ht="12.75" customHeight="1">
      <c r="A473" s="1" t="s">
        <v>1537</v>
      </c>
      <c r="C473" s="1" t="s">
        <v>1538</v>
      </c>
      <c r="F473" s="1" t="s">
        <v>1539</v>
      </c>
    </row>
    <row r="475" spans="1:7" ht="12.75" customHeight="1">
      <c r="A475" s="1" t="s">
        <v>1540</v>
      </c>
      <c r="C475" s="1" t="s">
        <v>1541</v>
      </c>
      <c r="F475" s="1" t="s">
        <v>1542</v>
      </c>
      <c r="G475" s="1" t="s">
        <v>1543</v>
      </c>
    </row>
    <row r="477" spans="1:3" ht="12.75" customHeight="1">
      <c r="A477" s="1" t="s">
        <v>1544</v>
      </c>
      <c r="C477" s="1" t="s">
        <v>1545</v>
      </c>
    </row>
    <row r="479" spans="1:3" ht="12.75" customHeight="1">
      <c r="A479" s="1" t="s">
        <v>1546</v>
      </c>
      <c r="C479" s="1" t="s">
        <v>1547</v>
      </c>
    </row>
    <row r="484" spans="1:7" ht="12.75" customHeight="1">
      <c r="A484" s="98" t="s">
        <v>1548</v>
      </c>
      <c r="C484" s="98" t="s">
        <v>1145</v>
      </c>
      <c r="D484" s="98"/>
      <c r="F484" s="98" t="s">
        <v>1146</v>
      </c>
      <c r="G484" s="98" t="s">
        <v>1440</v>
      </c>
    </row>
    <row r="486" spans="1:7" ht="12.75" customHeight="1">
      <c r="A486" s="1" t="s">
        <v>1549</v>
      </c>
      <c r="C486" s="1" t="s">
        <v>1550</v>
      </c>
      <c r="F486" s="1" t="s">
        <v>1551</v>
      </c>
      <c r="G486" s="1" t="s">
        <v>1552</v>
      </c>
    </row>
    <row r="487" ht="12.75" customHeight="1"/>
    <row r="488" spans="1:3" ht="12.75" customHeight="1">
      <c r="A488" s="1" t="s">
        <v>1553</v>
      </c>
      <c r="C488" s="1" t="s">
        <v>1554</v>
      </c>
    </row>
    <row r="489" ht="12.75" customHeight="1"/>
    <row r="490" spans="1:6" ht="12.75" customHeight="1">
      <c r="A490" s="1" t="s">
        <v>1555</v>
      </c>
      <c r="C490" s="1" t="s">
        <v>1556</v>
      </c>
      <c r="F490" s="1" t="s">
        <v>1557</v>
      </c>
    </row>
    <row r="492" spans="1:7" ht="12.75" customHeight="1">
      <c r="A492" s="1" t="s">
        <v>1558</v>
      </c>
      <c r="C492" s="1" t="s">
        <v>1559</v>
      </c>
      <c r="F492" s="1" t="s">
        <v>1560</v>
      </c>
      <c r="G492" s="1" t="s">
        <v>1561</v>
      </c>
    </row>
    <row r="494" spans="1:7" ht="12.75" customHeight="1">
      <c r="A494" s="1" t="s">
        <v>1562</v>
      </c>
      <c r="C494" s="1" t="s">
        <v>1563</v>
      </c>
      <c r="F494" s="1" t="s">
        <v>1564</v>
      </c>
      <c r="G494" s="1" t="s">
        <v>1565</v>
      </c>
    </row>
    <row r="496" spans="1:7" ht="12.75" customHeight="1">
      <c r="A496" s="1" t="s">
        <v>1566</v>
      </c>
      <c r="C496" s="1" t="s">
        <v>1567</v>
      </c>
      <c r="F496" s="1" t="s">
        <v>1568</v>
      </c>
      <c r="G496" s="1" t="s">
        <v>1569</v>
      </c>
    </row>
    <row r="497" ht="12.75" customHeight="1">
      <c r="F497" s="1" t="s">
        <v>1570</v>
      </c>
    </row>
    <row r="499" spans="1:6" ht="12.75" customHeight="1">
      <c r="A499" s="1" t="s">
        <v>1571</v>
      </c>
      <c r="C499" s="1" t="s">
        <v>1572</v>
      </c>
      <c r="F499" s="1" t="s">
        <v>1573</v>
      </c>
    </row>
    <row r="501" spans="1:7" ht="12.75" customHeight="1">
      <c r="A501" s="1" t="s">
        <v>1574</v>
      </c>
      <c r="C501" s="1" t="s">
        <v>1575</v>
      </c>
      <c r="F501" s="1" t="s">
        <v>1576</v>
      </c>
      <c r="G501" s="1" t="s">
        <v>1577</v>
      </c>
    </row>
    <row r="502" ht="12.75" customHeight="1">
      <c r="F502" s="1" t="s">
        <v>1578</v>
      </c>
    </row>
    <row r="504" spans="1:7" ht="12.75" customHeight="1">
      <c r="A504" s="1" t="s">
        <v>1579</v>
      </c>
      <c r="C504" s="1" t="s">
        <v>1580</v>
      </c>
      <c r="F504" s="1" t="s">
        <v>1581</v>
      </c>
      <c r="G504" s="1" t="s">
        <v>1582</v>
      </c>
    </row>
    <row r="506" spans="1:6" ht="12.75" customHeight="1">
      <c r="A506" s="1" t="s">
        <v>1583</v>
      </c>
      <c r="C506" s="1" t="s">
        <v>1584</v>
      </c>
      <c r="F506" s="1" t="s">
        <v>1585</v>
      </c>
    </row>
    <row r="508" spans="1:7" ht="12.75" customHeight="1">
      <c r="A508" s="1" t="s">
        <v>1586</v>
      </c>
      <c r="C508" s="1" t="s">
        <v>1587</v>
      </c>
      <c r="F508" s="1" t="s">
        <v>1588</v>
      </c>
      <c r="G508" s="1" t="s">
        <v>1589</v>
      </c>
    </row>
    <row r="509" ht="12.75" customHeight="1"/>
    <row r="510" spans="1:6" ht="12.75" customHeight="1">
      <c r="A510" s="1" t="s">
        <v>1590</v>
      </c>
      <c r="C510" s="1" t="s">
        <v>1591</v>
      </c>
      <c r="F510" s="1" t="s">
        <v>1592</v>
      </c>
    </row>
    <row r="511" ht="12.75" customHeight="1">
      <c r="F511" s="1" t="s">
        <v>1593</v>
      </c>
    </row>
    <row r="513" spans="1:7" ht="12.75" customHeight="1">
      <c r="A513" s="1" t="s">
        <v>1594</v>
      </c>
      <c r="C513" s="1" t="s">
        <v>1595</v>
      </c>
      <c r="F513" s="1" t="s">
        <v>1596</v>
      </c>
      <c r="G513" s="1" t="s">
        <v>1597</v>
      </c>
    </row>
    <row r="515" spans="1:7" ht="12.75" customHeight="1">
      <c r="A515" s="1" t="s">
        <v>1598</v>
      </c>
      <c r="C515" s="1" t="s">
        <v>1599</v>
      </c>
      <c r="F515" s="1" t="s">
        <v>1600</v>
      </c>
      <c r="G515" s="1" t="s">
        <v>1601</v>
      </c>
    </row>
    <row r="517" spans="1:6" ht="12.75" customHeight="1">
      <c r="A517" s="1" t="s">
        <v>1602</v>
      </c>
      <c r="C517" s="1" t="s">
        <v>1603</v>
      </c>
      <c r="F517" s="1" t="s">
        <v>1604</v>
      </c>
    </row>
    <row r="518" ht="12.75" customHeight="1">
      <c r="C518" s="1" t="s">
        <v>1605</v>
      </c>
    </row>
    <row r="520" spans="1:7" ht="12.75" customHeight="1">
      <c r="A520" s="1" t="s">
        <v>1606</v>
      </c>
      <c r="C520" s="1" t="s">
        <v>1607</v>
      </c>
      <c r="F520" s="1" t="s">
        <v>1608</v>
      </c>
      <c r="G520" s="1" t="s">
        <v>1609</v>
      </c>
    </row>
    <row r="521" ht="12.75" customHeight="1">
      <c r="F521" s="1" t="s">
        <v>1610</v>
      </c>
    </row>
    <row r="523" spans="1:7" ht="12.75" customHeight="1">
      <c r="A523" s="1" t="s">
        <v>1611</v>
      </c>
      <c r="C523" s="1" t="s">
        <v>1612</v>
      </c>
      <c r="F523" s="1" t="s">
        <v>1613</v>
      </c>
      <c r="G523" s="1" t="s">
        <v>1614</v>
      </c>
    </row>
    <row r="525" spans="1:7" ht="12.75" customHeight="1">
      <c r="A525" s="1" t="s">
        <v>1615</v>
      </c>
      <c r="C525" s="1" t="s">
        <v>1616</v>
      </c>
      <c r="F525" s="1" t="s">
        <v>1617</v>
      </c>
      <c r="G525" s="1" t="s">
        <v>1618</v>
      </c>
    </row>
    <row r="527" spans="1:7" ht="12.75" customHeight="1">
      <c r="A527" s="1" t="s">
        <v>1619</v>
      </c>
      <c r="C527" s="1" t="s">
        <v>1620</v>
      </c>
      <c r="F527" s="1" t="s">
        <v>1621</v>
      </c>
      <c r="G527" s="1" t="s">
        <v>1622</v>
      </c>
    </row>
    <row r="529" spans="1:6" ht="12.75" customHeight="1">
      <c r="A529" s="1" t="s">
        <v>1623</v>
      </c>
      <c r="C529" s="1" t="s">
        <v>1624</v>
      </c>
      <c r="F529" s="1" t="s">
        <v>1625</v>
      </c>
    </row>
    <row r="531" spans="1:3" ht="12.75" customHeight="1">
      <c r="A531" s="1" t="s">
        <v>1626</v>
      </c>
      <c r="C531" s="1" t="s">
        <v>1627</v>
      </c>
    </row>
    <row r="533" spans="1:3" ht="12.75" customHeight="1">
      <c r="A533" s="1" t="s">
        <v>1628</v>
      </c>
      <c r="C533" s="1" t="s">
        <v>1629</v>
      </c>
    </row>
    <row r="535" spans="1:6" ht="12.75" customHeight="1">
      <c r="A535" s="1" t="s">
        <v>1630</v>
      </c>
      <c r="C535" s="1" t="s">
        <v>1631</v>
      </c>
      <c r="F535" s="1" t="s">
        <v>1632</v>
      </c>
    </row>
    <row r="536" ht="12.75" customHeight="1">
      <c r="C536" s="1" t="s">
        <v>1633</v>
      </c>
    </row>
    <row r="538" spans="1:6" ht="12.75" customHeight="1">
      <c r="A538" s="1" t="s">
        <v>1634</v>
      </c>
      <c r="C538" s="1" t="s">
        <v>1635</v>
      </c>
      <c r="F538" s="1" t="s">
        <v>1636</v>
      </c>
    </row>
    <row r="540" spans="1:6" ht="12.75" customHeight="1">
      <c r="A540" s="1" t="s">
        <v>1637</v>
      </c>
      <c r="C540" s="1" t="s">
        <v>1638</v>
      </c>
      <c r="F540" s="1" t="s">
        <v>1639</v>
      </c>
    </row>
    <row r="542" spans="1:7" ht="12.75" customHeight="1">
      <c r="A542" s="1" t="s">
        <v>1640</v>
      </c>
      <c r="C542" s="1" t="s">
        <v>1641</v>
      </c>
      <c r="F542" s="1" t="s">
        <v>1642</v>
      </c>
      <c r="G542" s="1" t="s">
        <v>1643</v>
      </c>
    </row>
    <row r="543" ht="12.75" customHeight="1"/>
    <row r="544" spans="1:7" ht="12.75" customHeight="1">
      <c r="A544" s="1" t="s">
        <v>1644</v>
      </c>
      <c r="C544" s="1" t="s">
        <v>1645</v>
      </c>
      <c r="F544" s="1" t="s">
        <v>1646</v>
      </c>
      <c r="G544" s="1" t="s">
        <v>1647</v>
      </c>
    </row>
    <row r="545" ht="12.75" customHeight="1">
      <c r="C545" s="1" t="s">
        <v>1648</v>
      </c>
    </row>
    <row r="547" spans="1:7" ht="12.75" customHeight="1">
      <c r="A547" s="1" t="s">
        <v>1649</v>
      </c>
      <c r="C547" s="1" t="s">
        <v>1650</v>
      </c>
      <c r="F547" s="1" t="s">
        <v>1651</v>
      </c>
      <c r="G547" s="1" t="s">
        <v>1652</v>
      </c>
    </row>
    <row r="549" spans="1:7" ht="12.75" customHeight="1">
      <c r="A549" s="1" t="s">
        <v>1653</v>
      </c>
      <c r="C549" s="1" t="s">
        <v>1654</v>
      </c>
      <c r="F549" s="1" t="s">
        <v>1655</v>
      </c>
      <c r="G549" s="1" t="s">
        <v>1656</v>
      </c>
    </row>
    <row r="551" spans="1:7" ht="12.75" customHeight="1">
      <c r="A551" s="1" t="s">
        <v>1657</v>
      </c>
      <c r="C551" s="1" t="s">
        <v>1658</v>
      </c>
      <c r="F551" s="1" t="s">
        <v>1659</v>
      </c>
      <c r="G551" s="1" t="s">
        <v>1660</v>
      </c>
    </row>
    <row r="552" ht="12.75" customHeight="1"/>
    <row r="553" spans="1:7" ht="12.75" customHeight="1">
      <c r="A553" s="1" t="s">
        <v>1661</v>
      </c>
      <c r="C553" s="1" t="s">
        <v>1662</v>
      </c>
      <c r="F553" s="1" t="s">
        <v>1663</v>
      </c>
      <c r="G553" s="1" t="s">
        <v>1664</v>
      </c>
    </row>
    <row r="555" spans="1:7" ht="12.75" customHeight="1">
      <c r="A555" s="1" t="s">
        <v>1665</v>
      </c>
      <c r="C555" s="1" t="s">
        <v>1666</v>
      </c>
      <c r="F555" s="1" t="s">
        <v>1667</v>
      </c>
      <c r="G555" s="1" t="s">
        <v>1668</v>
      </c>
    </row>
    <row r="557" spans="1:7" ht="12.75" customHeight="1">
      <c r="A557" s="1" t="s">
        <v>1669</v>
      </c>
      <c r="C557" s="1" t="s">
        <v>1670</v>
      </c>
      <c r="F557" s="1" t="s">
        <v>1671</v>
      </c>
      <c r="G557" s="1" t="s">
        <v>1672</v>
      </c>
    </row>
    <row r="559" spans="1:7" ht="12.75" customHeight="1">
      <c r="A559" s="1" t="s">
        <v>1673</v>
      </c>
      <c r="C559" s="1" t="s">
        <v>1674</v>
      </c>
      <c r="F559" s="1" t="s">
        <v>1675</v>
      </c>
      <c r="G559" s="1" t="s">
        <v>1676</v>
      </c>
    </row>
    <row r="560" ht="12.75" customHeight="1">
      <c r="F560" s="1" t="s">
        <v>1677</v>
      </c>
    </row>
    <row r="562" spans="1:3" ht="12.75" customHeight="1">
      <c r="A562" s="1" t="s">
        <v>1678</v>
      </c>
      <c r="C562" s="1" t="s">
        <v>1679</v>
      </c>
    </row>
    <row r="564" spans="1:7" ht="12.75" customHeight="1">
      <c r="A564" s="1" t="s">
        <v>1680</v>
      </c>
      <c r="C564" s="1" t="s">
        <v>1681</v>
      </c>
      <c r="F564" s="1" t="s">
        <v>1682</v>
      </c>
      <c r="G564" s="1" t="s">
        <v>1683</v>
      </c>
    </row>
    <row r="566" spans="1:7" ht="12.75" customHeight="1">
      <c r="A566" s="1" t="s">
        <v>1684</v>
      </c>
      <c r="C566" s="1" t="s">
        <v>1685</v>
      </c>
      <c r="F566" s="1" t="s">
        <v>1686</v>
      </c>
      <c r="G566" s="1" t="s">
        <v>1687</v>
      </c>
    </row>
    <row r="567" ht="12.75" customHeight="1">
      <c r="F567" s="1" t="s">
        <v>1688</v>
      </c>
    </row>
    <row r="568" ht="12.75" customHeight="1">
      <c r="F568" s="1" t="s">
        <v>1689</v>
      </c>
    </row>
    <row r="569" ht="12.75" customHeight="1">
      <c r="F569" s="1" t="s">
        <v>1690</v>
      </c>
    </row>
    <row r="570" ht="12.75" customHeight="1">
      <c r="F570" s="1" t="s">
        <v>1691</v>
      </c>
    </row>
    <row r="571" ht="12.75" customHeight="1">
      <c r="F571" s="1" t="s">
        <v>1692</v>
      </c>
    </row>
    <row r="573" spans="1:7" ht="12.75" customHeight="1">
      <c r="A573" s="1" t="s">
        <v>1693</v>
      </c>
      <c r="C573" s="1" t="s">
        <v>1694</v>
      </c>
      <c r="F573" s="1" t="s">
        <v>1695</v>
      </c>
      <c r="G573" s="1" t="s">
        <v>1696</v>
      </c>
    </row>
    <row r="575" spans="1:7" ht="12.75" customHeight="1">
      <c r="A575" s="1" t="s">
        <v>1697</v>
      </c>
      <c r="C575" s="1" t="s">
        <v>1698</v>
      </c>
      <c r="F575" s="1" t="s">
        <v>1699</v>
      </c>
      <c r="G575" s="1" t="s">
        <v>1700</v>
      </c>
    </row>
    <row r="577" spans="1:7" ht="12.75" customHeight="1">
      <c r="A577" s="1" t="s">
        <v>1701</v>
      </c>
      <c r="C577" s="1" t="s">
        <v>1702</v>
      </c>
      <c r="F577" s="1" t="s">
        <v>1703</v>
      </c>
      <c r="G577" s="1" t="s">
        <v>1704</v>
      </c>
    </row>
    <row r="578" ht="12.75" customHeight="1">
      <c r="F578" s="1" t="s">
        <v>1705</v>
      </c>
    </row>
    <row r="581" ht="12.75" customHeight="1"/>
    <row r="582" spans="1:7" ht="12.75" customHeight="1">
      <c r="A582" s="98" t="s">
        <v>1706</v>
      </c>
      <c r="C582" s="98" t="s">
        <v>1145</v>
      </c>
      <c r="D582" s="98"/>
      <c r="F582" s="98" t="s">
        <v>1146</v>
      </c>
      <c r="G582" s="98" t="s">
        <v>1440</v>
      </c>
    </row>
    <row r="583" ht="12.75" customHeight="1"/>
    <row r="584" spans="1:7" ht="12.75" customHeight="1">
      <c r="A584" s="1" t="s">
        <v>1707</v>
      </c>
      <c r="C584" s="1" t="s">
        <v>1708</v>
      </c>
      <c r="F584" s="1" t="s">
        <v>1709</v>
      </c>
      <c r="G584" s="1" t="s">
        <v>1710</v>
      </c>
    </row>
    <row r="585" ht="12.75" customHeight="1">
      <c r="I585" s="1" t="s">
        <v>1711</v>
      </c>
    </row>
    <row r="586" spans="1:7" ht="12.75" customHeight="1">
      <c r="A586" s="1" t="s">
        <v>1712</v>
      </c>
      <c r="C586" s="1" t="s">
        <v>1713</v>
      </c>
      <c r="F586" s="1" t="s">
        <v>1714</v>
      </c>
      <c r="G586" s="1" t="s">
        <v>1715</v>
      </c>
    </row>
    <row r="587" ht="12.75" customHeight="1"/>
    <row r="588" spans="1:6" ht="12.75" customHeight="1">
      <c r="A588" s="1" t="s">
        <v>1716</v>
      </c>
      <c r="C588" s="1" t="s">
        <v>1717</v>
      </c>
      <c r="F588" s="1" t="s">
        <v>1718</v>
      </c>
    </row>
    <row r="589" ht="12.75" customHeight="1"/>
    <row r="590" spans="1:7" ht="12.75" customHeight="1">
      <c r="A590" s="1" t="s">
        <v>1719</v>
      </c>
      <c r="C590" s="1" t="s">
        <v>1720</v>
      </c>
      <c r="F590" s="21" t="s">
        <v>1721</v>
      </c>
      <c r="G590" s="1" t="s">
        <v>1722</v>
      </c>
    </row>
    <row r="591" ht="12.75" customHeight="1"/>
    <row r="592" spans="1:6" ht="12.75" customHeight="1">
      <c r="A592" s="1" t="s">
        <v>1723</v>
      </c>
      <c r="C592" s="1" t="s">
        <v>1724</v>
      </c>
      <c r="F592" s="1" t="s">
        <v>1725</v>
      </c>
    </row>
    <row r="593" ht="12.75" customHeight="1"/>
    <row r="594" spans="1:7" ht="12.75" customHeight="1">
      <c r="A594" s="1" t="s">
        <v>1726</v>
      </c>
      <c r="C594" s="1" t="s">
        <v>1727</v>
      </c>
      <c r="F594" s="21" t="s">
        <v>1728</v>
      </c>
      <c r="G594" s="1" t="s">
        <v>1729</v>
      </c>
    </row>
    <row r="595" ht="12.75" customHeight="1"/>
    <row r="596" spans="1:3" ht="12.75" customHeight="1">
      <c r="A596" s="1" t="s">
        <v>1730</v>
      </c>
      <c r="C596" s="1" t="s">
        <v>1731</v>
      </c>
    </row>
    <row r="597" ht="12.75" customHeight="1"/>
    <row r="598" spans="1:7" ht="12.75" customHeight="1">
      <c r="A598" s="1" t="s">
        <v>1732</v>
      </c>
      <c r="C598" s="1" t="s">
        <v>1733</v>
      </c>
      <c r="F598" s="1" t="s">
        <v>1734</v>
      </c>
      <c r="G598" s="1" t="s">
        <v>1735</v>
      </c>
    </row>
    <row r="599" ht="12.75" customHeight="1"/>
    <row r="600" spans="1:6" ht="12.75" customHeight="1">
      <c r="A600" s="1" t="s">
        <v>1736</v>
      </c>
      <c r="C600" s="1" t="s">
        <v>1737</v>
      </c>
      <c r="F600" s="1" t="s">
        <v>1738</v>
      </c>
    </row>
    <row r="602" spans="1:3" ht="12.75" customHeight="1">
      <c r="A602" s="1" t="s">
        <v>1739</v>
      </c>
      <c r="C602" s="1" t="s">
        <v>1740</v>
      </c>
    </row>
    <row r="603" ht="12.75" customHeight="1"/>
    <row r="604" spans="1:7" ht="12.75" customHeight="1">
      <c r="A604" s="1" t="s">
        <v>1741</v>
      </c>
      <c r="C604" s="1" t="s">
        <v>1742</v>
      </c>
      <c r="F604" s="1" t="s">
        <v>1743</v>
      </c>
      <c r="G604" s="21" t="s">
        <v>1744</v>
      </c>
    </row>
    <row r="606" spans="1:3" ht="12.75" customHeight="1">
      <c r="A606" s="1" t="s">
        <v>1745</v>
      </c>
      <c r="C606" s="1" t="s">
        <v>1746</v>
      </c>
    </row>
    <row r="608" spans="1:6" ht="12.75" customHeight="1">
      <c r="A608" s="1" t="s">
        <v>1747</v>
      </c>
      <c r="C608" s="1" t="s">
        <v>1748</v>
      </c>
      <c r="F608" s="1" t="s">
        <v>1749</v>
      </c>
    </row>
    <row r="610" spans="1:6" ht="12.75" customHeight="1">
      <c r="A610" s="1" t="s">
        <v>1707</v>
      </c>
      <c r="C610" s="1" t="s">
        <v>1750</v>
      </c>
      <c r="F610" s="1" t="s">
        <v>1751</v>
      </c>
    </row>
    <row r="612" spans="1:7" ht="12.75" customHeight="1">
      <c r="A612" s="1" t="s">
        <v>1752</v>
      </c>
      <c r="C612" s="1" t="s">
        <v>1753</v>
      </c>
      <c r="F612" s="1" t="s">
        <v>1754</v>
      </c>
      <c r="G612" s="1" t="s">
        <v>1755</v>
      </c>
    </row>
    <row r="613" ht="12.75" customHeight="1"/>
    <row r="614" spans="1:3" ht="12.75" customHeight="1">
      <c r="A614" s="1" t="s">
        <v>1756</v>
      </c>
      <c r="C614" s="1" t="s">
        <v>1757</v>
      </c>
    </row>
    <row r="615" ht="12.75" customHeight="1"/>
    <row r="616" spans="1:3" ht="12.75" customHeight="1">
      <c r="A616" s="1" t="s">
        <v>1758</v>
      </c>
      <c r="C616" s="1" t="s">
        <v>1759</v>
      </c>
    </row>
    <row r="617" ht="12.75" customHeight="1"/>
    <row r="618" spans="1:3" ht="12.75" customHeight="1">
      <c r="A618" s="1" t="s">
        <v>1760</v>
      </c>
      <c r="C618" s="1" t="s">
        <v>1761</v>
      </c>
    </row>
    <row r="619" ht="12.75" customHeight="1"/>
    <row r="620" spans="1:3" ht="12.75" customHeight="1">
      <c r="A620" s="1" t="s">
        <v>1762</v>
      </c>
      <c r="C620" s="1" t="s">
        <v>1763</v>
      </c>
    </row>
    <row r="621" ht="12.75" customHeight="1"/>
    <row r="622" spans="1:6" ht="12.75" customHeight="1">
      <c r="A622" s="1" t="s">
        <v>1764</v>
      </c>
      <c r="C622" s="1" t="s">
        <v>1765</v>
      </c>
      <c r="F622" s="1" t="s">
        <v>1766</v>
      </c>
    </row>
    <row r="623" ht="12.75" customHeight="1"/>
    <row r="624" spans="1:7" ht="12.75" customHeight="1">
      <c r="A624" s="1" t="s">
        <v>1767</v>
      </c>
      <c r="C624" s="1" t="s">
        <v>1768</v>
      </c>
      <c r="F624" s="1" t="s">
        <v>1769</v>
      </c>
      <c r="G624" s="21" t="s">
        <v>1770</v>
      </c>
    </row>
    <row r="625" ht="12.75" customHeight="1"/>
    <row r="626" spans="1:7" ht="12.75" customHeight="1">
      <c r="A626" s="1" t="s">
        <v>1771</v>
      </c>
      <c r="C626" s="1" t="s">
        <v>1772</v>
      </c>
      <c r="F626" s="1" t="s">
        <v>1773</v>
      </c>
      <c r="G626" s="21" t="s">
        <v>1774</v>
      </c>
    </row>
    <row r="627" ht="12.75" customHeight="1"/>
    <row r="628" spans="1:7" ht="12.75" customHeight="1">
      <c r="A628" s="1" t="s">
        <v>1775</v>
      </c>
      <c r="C628" s="1" t="s">
        <v>1776</v>
      </c>
      <c r="F628" s="1" t="s">
        <v>1777</v>
      </c>
      <c r="G628" s="1" t="s">
        <v>1778</v>
      </c>
    </row>
    <row r="629" ht="12.75" customHeight="1"/>
    <row r="630" spans="1:7" ht="12.75" customHeight="1">
      <c r="A630" s="1" t="s">
        <v>1779</v>
      </c>
      <c r="C630" s="1" t="s">
        <v>1780</v>
      </c>
      <c r="F630" s="1" t="s">
        <v>1781</v>
      </c>
      <c r="G630" s="1" t="s">
        <v>1782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" workbookViewId="0" topLeftCell="A1">
      <selection activeCell="A1" sqref="A1"/>
    </sheetView>
  </sheetViews>
  <sheetFormatPr defaultColWidth="11.421875" defaultRowHeight="12.75"/>
  <cols>
    <col min="1" max="1" width="14.7109375" style="1" customWidth="1"/>
    <col min="2" max="2" width="17.7109375" style="1" customWidth="1"/>
    <col min="3" max="3" width="91.7109375" style="1" customWidth="1"/>
    <col min="4" max="16384" width="11.421875" style="1" customWidth="1"/>
  </cols>
  <sheetData>
    <row r="1" spans="1:3" ht="12.75" customHeight="1">
      <c r="A1" s="119" t="s">
        <v>1783</v>
      </c>
      <c r="B1" s="119" t="s">
        <v>1425</v>
      </c>
      <c r="C1" s="119" t="s">
        <v>1784</v>
      </c>
    </row>
    <row r="2" spans="1:3" ht="12.75" customHeight="1">
      <c r="A2" s="1" t="s">
        <v>1785</v>
      </c>
      <c r="B2" s="1" t="s">
        <v>1786</v>
      </c>
      <c r="C2" s="1" t="s">
        <v>1787</v>
      </c>
    </row>
    <row r="3" ht="12.75" customHeight="1">
      <c r="C3" s="1" t="s">
        <v>1788</v>
      </c>
    </row>
    <row r="4" ht="12.75" customHeight="1">
      <c r="C4" s="1" t="s">
        <v>1789</v>
      </c>
    </row>
    <row r="5" ht="12.75" customHeight="1">
      <c r="C5" s="1" t="s">
        <v>1790</v>
      </c>
    </row>
    <row r="6" ht="12.75"/>
    <row r="7" spans="1:3" ht="12.75" customHeight="1">
      <c r="A7" s="1" t="s">
        <v>1791</v>
      </c>
      <c r="B7" s="1" t="s">
        <v>1792</v>
      </c>
      <c r="C7" s="99" t="s">
        <v>1793</v>
      </c>
    </row>
    <row r="8" ht="12.75" customHeight="1">
      <c r="C8" s="1" t="s">
        <v>1794</v>
      </c>
    </row>
    <row r="9" ht="12.75" customHeight="1">
      <c r="C9" s="1" t="s">
        <v>1795</v>
      </c>
    </row>
    <row r="10" ht="12.75"/>
    <row r="11" spans="1:3" ht="12.75" customHeight="1">
      <c r="A11" s="1" t="s">
        <v>1796</v>
      </c>
      <c r="B11" s="1" t="s">
        <v>1797</v>
      </c>
      <c r="C11" s="1" t="s">
        <v>1798</v>
      </c>
    </row>
    <row r="12" ht="12.75"/>
    <row r="13" spans="1:3" ht="12.75" customHeight="1">
      <c r="A13" s="1" t="s">
        <v>1799</v>
      </c>
      <c r="B13" s="1" t="s">
        <v>1800</v>
      </c>
      <c r="C13" s="1" t="s">
        <v>1801</v>
      </c>
    </row>
    <row r="14" ht="12.75"/>
    <row r="15" spans="1:3" ht="12.75" customHeight="1">
      <c r="A15" s="1" t="s">
        <v>1802</v>
      </c>
      <c r="B15" s="1" t="s">
        <v>1803</v>
      </c>
      <c r="C15" s="1" t="s">
        <v>1804</v>
      </c>
    </row>
    <row r="16" ht="12.75" customHeight="1">
      <c r="C16" s="1" t="s">
        <v>1805</v>
      </c>
    </row>
    <row r="17" ht="12.75"/>
    <row r="18" spans="1:3" ht="12.75" customHeight="1">
      <c r="A18" s="1" t="s">
        <v>1806</v>
      </c>
      <c r="B18" s="1" t="s">
        <v>1807</v>
      </c>
      <c r="C18" s="120" t="s">
        <v>1808</v>
      </c>
    </row>
    <row r="19" ht="12.75"/>
    <row r="20" spans="1:3" ht="12.75" customHeight="1">
      <c r="A20" s="1" t="s">
        <v>1809</v>
      </c>
      <c r="B20" s="1" t="s">
        <v>1810</v>
      </c>
      <c r="C20" s="99" t="s">
        <v>1811</v>
      </c>
    </row>
    <row r="21" ht="12.75" customHeight="1">
      <c r="C21" s="1" t="s">
        <v>1812</v>
      </c>
    </row>
    <row r="22" ht="12.75"/>
    <row r="23" spans="1:3" ht="12.75" customHeight="1">
      <c r="A23" s="1" t="s">
        <v>1813</v>
      </c>
      <c r="B23" s="1" t="s">
        <v>1810</v>
      </c>
      <c r="C23" s="99" t="s">
        <v>1814</v>
      </c>
    </row>
    <row r="24" ht="12.75" customHeight="1">
      <c r="C24" s="1" t="s">
        <v>1815</v>
      </c>
    </row>
    <row r="25" ht="12.75"/>
    <row r="26" ht="12.75"/>
    <row r="28" ht="12.75"/>
    <row r="29" ht="12.75"/>
    <row r="30" ht="12.75"/>
    <row r="32" ht="12.75"/>
    <row r="35" ht="12.75"/>
    <row r="37" ht="12.75"/>
    <row r="38" ht="12.75"/>
    <row r="41" ht="12.75"/>
    <row r="42" ht="12.75"/>
    <row r="43" ht="12.75"/>
    <row r="45" ht="12.75"/>
    <row r="47" ht="12.75"/>
    <row r="48" ht="12.75"/>
    <row r="57" ht="12.75"/>
    <row r="58" ht="12.75"/>
    <row r="59" ht="12.75"/>
    <row r="61" ht="12.75"/>
    <row r="63" ht="12.75"/>
    <row r="64" ht="12.75"/>
    <row r="65" ht="12.75"/>
    <row r="66" ht="12.75"/>
    <row r="68" ht="12.75"/>
    <row r="70" ht="12.75"/>
    <row r="71" ht="12.75"/>
    <row r="72" ht="12.75"/>
    <row r="74" ht="12.75"/>
    <row r="76" ht="12.75"/>
    <row r="78" ht="12.75"/>
    <row r="80" ht="12.75"/>
    <row r="81" ht="12.75"/>
    <row r="82" ht="12.75"/>
    <row r="90" ht="12.75"/>
    <row r="91" ht="12.75"/>
    <row r="92" ht="12.75"/>
    <row r="94" ht="12.75"/>
    <row r="95" ht="12.75"/>
    <row r="96" ht="12.75"/>
    <row r="101" ht="12.75"/>
    <row r="102" ht="12.75"/>
    <row r="103" ht="12.75"/>
    <row r="149" ht="12.75"/>
    <row r="150" ht="12.75"/>
    <row r="151" ht="12.75"/>
    <row r="160" ht="12.75"/>
    <row r="161" ht="12.75"/>
    <row r="162" ht="12.75"/>
    <row r="185" ht="12.75"/>
    <row r="186" ht="12.75"/>
    <row r="187" ht="12.75"/>
    <row r="191" ht="12.75"/>
    <row r="192" ht="12.75"/>
    <row r="193" ht="12.75"/>
    <row r="207" ht="12.75"/>
    <row r="208" ht="12.75"/>
    <row r="209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2009-04-22T19:24:48Z</dcterms:created>
  <dcterms:modified xsi:type="dcterms:W3CDTF">2014-02-24T18:12:44Z</dcterms:modified>
  <cp:category/>
  <cp:version/>
  <cp:contentType/>
  <cp:contentStatus/>
  <cp:revision>50</cp:revision>
</cp:coreProperties>
</file>