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5" yWindow="45" windowWidth="18165" windowHeight="10875" tabRatio="448" activeTab="0"/>
  </bookViews>
  <sheets>
    <sheet name="Print D1.x" sheetId="1" r:id="rId1"/>
    <sheet name="D1.x" sheetId="2" r:id="rId2"/>
    <sheet name="All Vars D1.x" sheetId="3" r:id="rId3"/>
    <sheet name="D1.5 GT Range" sheetId="4" r:id="rId4"/>
    <sheet name="Heat Input" sheetId="5" r:id="rId5"/>
    <sheet name="Weld Records" sheetId="6" r:id="rId6"/>
  </sheets>
  <definedNames>
    <definedName name="_xlnm.Print_Area" localSheetId="2">'All Vars D1.x'!$B$1:$AE$34</definedName>
    <definedName name="_xlnm.Print_Area" localSheetId="1">'D1.x'!$A$1:$AG$67</definedName>
    <definedName name="_xlnm.Print_Area" localSheetId="0">'Print D1.x'!$A$1:$G$49</definedName>
  </definedNames>
  <calcPr fullCalcOnLoad="1"/>
</workbook>
</file>

<file path=xl/sharedStrings.xml><?xml version="1.0" encoding="utf-8"?>
<sst xmlns="http://schemas.openxmlformats.org/spreadsheetml/2006/main" count="572" uniqueCount="386">
  <si>
    <t xml:space="preserve">Plate </t>
  </si>
  <si>
    <t>Thick</t>
  </si>
  <si>
    <t>Weld Gap</t>
  </si>
  <si>
    <t>Copper Shoe</t>
  </si>
  <si>
    <t>Relief</t>
  </si>
  <si>
    <t>Assumptions</t>
  </si>
  <si>
    <t xml:space="preserve">Variable </t>
  </si>
  <si>
    <t>Initial Weld</t>
  </si>
  <si>
    <t>Grams</t>
  </si>
  <si>
    <t>Guide</t>
  </si>
  <si>
    <t>IPM</t>
  </si>
  <si>
    <t>VRR</t>
  </si>
  <si>
    <t>Flux Dump</t>
  </si>
  <si>
    <t>Suggested</t>
  </si>
  <si>
    <t>Cross</t>
  </si>
  <si>
    <t>Section</t>
  </si>
  <si>
    <t>Pre weld</t>
  </si>
  <si>
    <t>inch of weld</t>
  </si>
  <si>
    <t>(in Grams)</t>
  </si>
  <si>
    <t>(in Lbs)</t>
  </si>
  <si>
    <t>(in IPM)</t>
  </si>
  <si>
    <t>Width</t>
  </si>
  <si>
    <t>Tube</t>
  </si>
  <si>
    <t>Weld Speed</t>
  </si>
  <si>
    <t>.125 x 2 = .25"</t>
  </si>
  <si>
    <t>1" Deep</t>
  </si>
  <si>
    <t>Running</t>
  </si>
  <si>
    <t>Flux in</t>
  </si>
  <si>
    <t>(per minute)</t>
  </si>
  <si>
    <t>Do It Your Way</t>
  </si>
  <si>
    <t>Weight of</t>
  </si>
  <si>
    <t>wire per</t>
  </si>
  <si>
    <t xml:space="preserve">Flux per </t>
  </si>
  <si>
    <t>Grams Running</t>
  </si>
  <si>
    <t>Volts</t>
  </si>
  <si>
    <t>Weld</t>
  </si>
  <si>
    <t>Gap</t>
  </si>
  <si>
    <r>
      <t xml:space="preserve">1 </t>
    </r>
    <r>
      <rPr>
        <sz val="10"/>
        <rFont val="Arial"/>
        <family val="0"/>
      </rPr>
      <t xml:space="preserve"> Listed plate thicknesses in cells with</t>
    </r>
    <r>
      <rPr>
        <b/>
        <sz val="10"/>
        <rFont val="Arial"/>
        <family val="2"/>
      </rPr>
      <t xml:space="preserve"> blue </t>
    </r>
    <r>
      <rPr>
        <sz val="10"/>
        <rFont val="Arial"/>
        <family val="0"/>
      </rPr>
      <t xml:space="preserve">background are </t>
    </r>
    <r>
      <rPr>
        <b/>
        <sz val="10"/>
        <rFont val="Arial"/>
        <family val="2"/>
      </rPr>
      <t>min thk</t>
    </r>
    <r>
      <rPr>
        <sz val="10"/>
        <rFont val="Arial"/>
        <family val="0"/>
      </rPr>
      <t xml:space="preserve"> for the guide tube </t>
    </r>
    <r>
      <rPr>
        <b/>
        <sz val="10"/>
        <rFont val="Arial"/>
        <family val="2"/>
      </rPr>
      <t xml:space="preserve">width </t>
    </r>
    <r>
      <rPr>
        <sz val="10"/>
        <rFont val="Arial"/>
        <family val="0"/>
      </rPr>
      <t>used.Narrower G/T  can be used it may require oscillation</t>
    </r>
  </si>
  <si>
    <t>Notes</t>
  </si>
  <si>
    <r>
      <t>2</t>
    </r>
    <r>
      <rPr>
        <sz val="10"/>
        <rFont val="Arial"/>
        <family val="0"/>
      </rPr>
      <t>. For any combination of gaps guide tube width and thickness etc use</t>
    </r>
    <r>
      <rPr>
        <b/>
        <sz val="10"/>
        <rFont val="Arial"/>
        <family val="2"/>
      </rPr>
      <t xml:space="preserve"> DO IT YOUR WAY</t>
    </r>
    <r>
      <rPr>
        <sz val="10"/>
        <rFont val="Arial"/>
        <family val="0"/>
      </rPr>
      <t>.</t>
    </r>
  </si>
  <si>
    <t xml:space="preserve">VERTASLAG FLUX DEPOSITION RATES &amp; WIRE FEED SPEED </t>
  </si>
  <si>
    <t>ARCMATIC INTEGRATED SYSTEMS</t>
  </si>
  <si>
    <t>TEMPLATE MADE</t>
  </si>
  <si>
    <t>MODIFIED</t>
  </si>
  <si>
    <t>Length of wire</t>
  </si>
  <si>
    <t>Heat Input</t>
  </si>
  <si>
    <t>lbs/in</t>
  </si>
  <si>
    <t>Actual Wire Weight per inch</t>
  </si>
  <si>
    <t>Ft per lb</t>
  </si>
  <si>
    <t>Length of wire per lb</t>
  </si>
  <si>
    <t>actual weight</t>
  </si>
  <si>
    <t>Wire wt per Ft</t>
  </si>
  <si>
    <t>revised</t>
  </si>
  <si>
    <t>Actual weight of wire</t>
  </si>
  <si>
    <t>PREWELD COND Pg 1)</t>
  </si>
  <si>
    <t>Open Circuit Volts</t>
  </si>
  <si>
    <t>=</t>
  </si>
  <si>
    <t>N</t>
  </si>
  <si>
    <t>Program weld time</t>
  </si>
  <si>
    <t xml:space="preserve">PROGRAM #2 WELD COND  </t>
  </si>
  <si>
    <t xml:space="preserve">INITIAL WELD COND </t>
  </si>
  <si>
    <t xml:space="preserve">FINAL WELD COND </t>
  </si>
  <si>
    <t>Wire#</t>
  </si>
  <si>
    <t>GuideT</t>
  </si>
  <si>
    <t xml:space="preserve"> Plate Thickness:</t>
  </si>
  <si>
    <t>%</t>
  </si>
  <si>
    <t>b-s</t>
  </si>
  <si>
    <t>w-s</t>
  </si>
  <si>
    <t>w-v</t>
  </si>
  <si>
    <t>f-v</t>
  </si>
  <si>
    <t>f-s</t>
  </si>
  <si>
    <t>Wire</t>
  </si>
  <si>
    <t>Speed</t>
  </si>
  <si>
    <t>Time</t>
  </si>
  <si>
    <t>Start Arc</t>
  </si>
  <si>
    <t>2 '</t>
  </si>
  <si>
    <t>10"</t>
  </si>
  <si>
    <t>Welding Time</t>
  </si>
  <si>
    <t>10 "</t>
  </si>
  <si>
    <t>30 "</t>
  </si>
  <si>
    <t>3 "</t>
  </si>
  <si>
    <t>1'- 57"</t>
  </si>
  <si>
    <t>Wire Speed</t>
  </si>
  <si>
    <t>PROGRAMED TIME</t>
  </si>
  <si>
    <t>Ramp Up For Welding</t>
  </si>
  <si>
    <t>Ramp Down to Finish</t>
  </si>
  <si>
    <t>End Cycle</t>
  </si>
  <si>
    <t xml:space="preserve">End Welding </t>
  </si>
  <si>
    <t>Operator Action</t>
  </si>
  <si>
    <t>Initial Flux</t>
  </si>
  <si>
    <t>Replacement Flux</t>
  </si>
  <si>
    <t>No Flux</t>
  </si>
  <si>
    <t>Beg Flux</t>
  </si>
  <si>
    <t xml:space="preserve">Puddle Forming  </t>
  </si>
  <si>
    <t>End Volt</t>
  </si>
  <si>
    <t>End Speed</t>
  </si>
  <si>
    <t>End Time</t>
  </si>
  <si>
    <t>Weld Volt</t>
  </si>
  <si>
    <t>Begin Time</t>
  </si>
  <si>
    <t>Begin SlopeT</t>
  </si>
  <si>
    <t>Begin Speed</t>
  </si>
  <si>
    <t>Begin Volt</t>
  </si>
  <si>
    <t>Prg Flux</t>
  </si>
  <si>
    <t>Begin Flux</t>
  </si>
  <si>
    <t>Start Flux</t>
  </si>
  <si>
    <t>Pl Thk in mm</t>
  </si>
  <si>
    <t>Pl Thk in Inc</t>
  </si>
  <si>
    <t>Weld Ampers</t>
  </si>
  <si>
    <t xml:space="preserve">PROGRAM #1 WELD CONDITIONS  </t>
  </si>
  <si>
    <t>*</t>
  </si>
  <si>
    <t>* - Amps is not an input for the computer program. It is shown for information only.</t>
  </si>
  <si>
    <t>factor</t>
  </si>
  <si>
    <t>Ft</t>
  </si>
  <si>
    <t>Lb</t>
  </si>
  <si>
    <t>#</t>
  </si>
  <si>
    <t>OSC Dwell Time</t>
  </si>
  <si>
    <t>OSC Speed</t>
  </si>
  <si>
    <t>OSC Length</t>
  </si>
  <si>
    <t>Weld Dwel Volt</t>
  </si>
  <si>
    <t>Begin Dwel Volt</t>
  </si>
  <si>
    <t xml:space="preserve"> No of Wires:</t>
  </si>
  <si>
    <t xml:space="preserve"> Guide Tube used:</t>
  </si>
  <si>
    <t xml:space="preserve"> VRR (IPM)</t>
  </si>
  <si>
    <t xml:space="preserve"> GAP</t>
  </si>
  <si>
    <t>VRR IPM</t>
  </si>
  <si>
    <t xml:space="preserve">  Std Guide Tube</t>
  </si>
  <si>
    <t xml:space="preserve">NO OSCILLATION  </t>
  </si>
  <si>
    <t>D1.5</t>
  </si>
  <si>
    <t>LoockUp Table for GT THK</t>
  </si>
  <si>
    <t>Sump Length</t>
  </si>
  <si>
    <t xml:space="preserve">PREWELD COND Pg 2  </t>
  </si>
  <si>
    <t>Preweld Flux Dump (Flx:PreWeld)</t>
  </si>
  <si>
    <t>Initial Weld Flux Dump (FLX:Ini))</t>
  </si>
  <si>
    <t>Program Flux Rate (Prg)</t>
  </si>
  <si>
    <t>Voltage Drop(V Drop)</t>
  </si>
  <si>
    <t>Use Oscillator (Osc)</t>
  </si>
  <si>
    <t>Starting Wire Feeder Speed(Run-In IPM)</t>
  </si>
  <si>
    <t>Allow to use Dwell Voltage(DwellV)</t>
  </si>
  <si>
    <t>Allow to use timed weld(Timed)</t>
  </si>
  <si>
    <t>Allow Pulsing between 2 PRG (Pulse)</t>
  </si>
  <si>
    <t>Welding Amps(Amp)</t>
  </si>
  <si>
    <t>Welding Volts (WeldV)</t>
  </si>
  <si>
    <t>Dwell Voltage (DwellV)</t>
  </si>
  <si>
    <t>Wire Feeder  Speed (IPM)</t>
  </si>
  <si>
    <t>Total initial weld time (Min:Sec)</t>
  </si>
  <si>
    <t>Welding Amps (Amp)</t>
  </si>
  <si>
    <t>Wire Feeder  Speed  (IPM)</t>
  </si>
  <si>
    <t>Level #1 Welding Amps (Amp)</t>
  </si>
  <si>
    <t>Level #1 Welding Volts (WeldV)</t>
  </si>
  <si>
    <t>Leve #1 Wire Speed (IMP)</t>
  </si>
  <si>
    <t>Level #1 Dwell Voltage DwellV)</t>
  </si>
  <si>
    <t>Pulse Weld Time # 1 (MM:SS)</t>
  </si>
  <si>
    <t>Level #2 Welding Amps (Amp)</t>
  </si>
  <si>
    <t>Level #2 Welding Volts (WeldV)</t>
  </si>
  <si>
    <t>Leve #2 Wire Speed (IMP)</t>
  </si>
  <si>
    <t>Level #2 Dwell Voltage (DwellV)</t>
  </si>
  <si>
    <t>Pulse Weld Time # 2 (mm:ss)</t>
  </si>
  <si>
    <t>Flux-height inch</t>
  </si>
  <si>
    <t>Sump Voltage (add this during the Slope)</t>
  </si>
  <si>
    <t>At Bottom Sump</t>
  </si>
  <si>
    <t>Welding</t>
  </si>
  <si>
    <t>Voltage</t>
  </si>
  <si>
    <t>Feeder</t>
  </si>
  <si>
    <t>vlookup gages</t>
  </si>
  <si>
    <t>Thk in Inches</t>
  </si>
  <si>
    <t>Size</t>
  </si>
  <si>
    <t>WT</t>
  </si>
  <si>
    <t>Top</t>
  </si>
  <si>
    <t>Bot</t>
  </si>
  <si>
    <t>sec</t>
  </si>
  <si>
    <t>Add time to beginning time</t>
  </si>
  <si>
    <t xml:space="preserve">to keep into </t>
  </si>
  <si>
    <t>actual weld</t>
  </si>
  <si>
    <t>Total Final weld time</t>
  </si>
  <si>
    <t>DRY FLUX</t>
  </si>
  <si>
    <t>Kg/m^3</t>
  </si>
  <si>
    <t>g/cm^3</t>
  </si>
  <si>
    <t>g/inch^3</t>
  </si>
  <si>
    <t>1 Cu Inch-cm^3</t>
  </si>
  <si>
    <t>LIQUID FLUX - 105</t>
  </si>
  <si>
    <t>AMP.</t>
  </si>
  <si>
    <t>A</t>
  </si>
  <si>
    <t>B</t>
  </si>
  <si>
    <t>C</t>
  </si>
  <si>
    <t>Joules/In</t>
  </si>
  <si>
    <t>Std Kilo-</t>
  </si>
  <si>
    <t>Proposed Kilo-</t>
  </si>
  <si>
    <t xml:space="preserve">Proposed Net </t>
  </si>
  <si>
    <t>Kilo Joules/InxIn</t>
  </si>
  <si>
    <t>Joules/InxIn</t>
  </si>
  <si>
    <t>GROS</t>
  </si>
  <si>
    <t>NET</t>
  </si>
  <si>
    <t>STD HEAT INPUT FORMULA</t>
  </si>
  <si>
    <t># 1</t>
  </si>
  <si>
    <t>AMPxVOLTSx60</t>
  </si>
  <si>
    <t>K-JOULE</t>
  </si>
  <si>
    <t>1000*VRR</t>
  </si>
  <si>
    <t>IN</t>
  </si>
  <si>
    <t>PROPOSED GROSS HEAT INPUT FORMULA</t>
  </si>
  <si>
    <t>Gross Joules per Inch of Vertical Rise &amp; Inch of Plate Thk</t>
  </si>
  <si>
    <t>KJOULE</t>
  </si>
  <si>
    <t>#2</t>
  </si>
  <si>
    <t>100 x VRR x Weld Thk</t>
  </si>
  <si>
    <t>IN x IN</t>
  </si>
  <si>
    <t>PROPOSED NET HEAT INPUT FORMULA</t>
  </si>
  <si>
    <t>Net Joules per Inch of Vertical Rise &amp; Inch of Plate Thk</t>
  </si>
  <si>
    <t>(5.688 x Volts x Amps- Heat Removed By Cooper Shoes)x1.055</t>
  </si>
  <si>
    <t>#3</t>
  </si>
  <si>
    <t>#4</t>
  </si>
  <si>
    <t>HEAT REMOVED BY COOLING COOPER SHOES</t>
  </si>
  <si>
    <t>COOLING WATER FLOW (GPM) x 8.337 (LBS/GAL) x (WATER TEMP OUT-WATER TEMP. IN)</t>
  </si>
  <si>
    <t>HEAT REMOVAL TESTS VALUE=</t>
  </si>
  <si>
    <t>BTU/MIN</t>
  </si>
  <si>
    <t>ARCMATIC RUN TEST INDICATES THE HEAT REMOVAL RATE BY THE</t>
  </si>
  <si>
    <t>COOLING SHOES IS ABOUT 22,000 BTU PER HOUR OR 370 BTU  PER MIN.</t>
  </si>
  <si>
    <t>REGARDLESS OF PLATE THICKNESS OR WELDING PARAMETERS.</t>
  </si>
  <si>
    <t>MIN</t>
  </si>
  <si>
    <t>MAX</t>
  </si>
  <si>
    <t xml:space="preserve"> Sump Length</t>
  </si>
  <si>
    <t>Welders Name :</t>
  </si>
  <si>
    <t>____________________________________________________</t>
  </si>
  <si>
    <t xml:space="preserve">Date: </t>
  </si>
  <si>
    <t>_______________________</t>
  </si>
  <si>
    <t>Sump Length:</t>
  </si>
  <si>
    <t>Weld Length</t>
  </si>
  <si>
    <t>Weld ID</t>
  </si>
  <si>
    <t xml:space="preserve">Weld Size </t>
  </si>
  <si>
    <t>GAP Size (write down)    3/4,13/16, 7/8, 15/16</t>
  </si>
  <si>
    <t>Initial Speed</t>
  </si>
  <si>
    <t>Initial Time</t>
  </si>
  <si>
    <t xml:space="preserve">Total Weld Time </t>
  </si>
  <si>
    <t>Initial VRR  IPM</t>
  </si>
  <si>
    <t>Weld VRR   IPM</t>
  </si>
  <si>
    <t>all W</t>
  </si>
  <si>
    <t>WF-2</t>
  </si>
  <si>
    <t xml:space="preserve">W </t>
  </si>
  <si>
    <t>Speed for Wire Feed #2 as Percante</t>
  </si>
  <si>
    <t>Second Wire Feeder Speed - %</t>
  </si>
  <si>
    <t>Wire # for Wire Feeder-2</t>
  </si>
  <si>
    <t>WF-2 Speed as %</t>
  </si>
  <si>
    <t>Wire # for WF-2</t>
  </si>
  <si>
    <t>Water</t>
  </si>
  <si>
    <t>Temperature</t>
  </si>
  <si>
    <t>Formula-1</t>
  </si>
  <si>
    <t>Formula-2</t>
  </si>
  <si>
    <t>Removed Heat Input</t>
  </si>
  <si>
    <t>Formula-3</t>
  </si>
  <si>
    <t>AMP</t>
  </si>
  <si>
    <t>Volt'</t>
  </si>
  <si>
    <t>GPM</t>
  </si>
  <si>
    <t>Input</t>
  </si>
  <si>
    <t>Output</t>
  </si>
  <si>
    <t>Plate</t>
  </si>
  <si>
    <t>Thk</t>
  </si>
  <si>
    <t>(A*V*60)/ (Vrr*1000)</t>
  </si>
  <si>
    <t>(A*V*60)/ (Vrr*1000*Thk)</t>
  </si>
  <si>
    <t>GPM*8.9999*(T2-T1)</t>
  </si>
  <si>
    <t>(Heat Inp-Heat Removed)/  (VRR * Plate Thk</t>
  </si>
  <si>
    <t xml:space="preserve">DATA </t>
  </si>
  <si>
    <t>The formula(s) bellow are based on Arcmatics "Proposed Method to Calculate Heat Input if Electroslag Welding"</t>
  </si>
  <si>
    <t>The Article can be download from www.arcmatic.com-&gt;Technical Section-&gt;Downloads-&gt;User Manuals</t>
  </si>
  <si>
    <t>Sump Time in min</t>
  </si>
  <si>
    <t>ACTUAL VRR:</t>
  </si>
  <si>
    <t>End Slope Time</t>
  </si>
  <si>
    <t>WELD #</t>
  </si>
  <si>
    <t>ARCMATIC WELDING SYSTEMS</t>
  </si>
  <si>
    <t>DATE</t>
  </si>
  <si>
    <t>GUIDE TUBE SIZE - PLATE THK COMPATIBILITY</t>
  </si>
  <si>
    <t>TABLE I</t>
  </si>
  <si>
    <t>D1.5 CODE</t>
  </si>
  <si>
    <t>ARCMATIC GUIDE TUBES  DIMENSIONAL STANDARDS</t>
  </si>
  <si>
    <t>FILE Z:\TECH \ ELECTROSLAG \ GUIDE TUBES \ GUIDE TUBE SELECTION D1.5   7-19-11</t>
  </si>
  <si>
    <t>DIST BTWN G-T EDGE AND SHOE</t>
  </si>
  <si>
    <t>DIST.BTWN WIRES</t>
  </si>
  <si>
    <t>DIST BTWN WIRE AND SHOE</t>
  </si>
  <si>
    <t>Max Wire Spacing</t>
  </si>
  <si>
    <t>Distance between outside wires</t>
  </si>
  <si>
    <t>SPACE BTWN WIRES D1.5</t>
  </si>
  <si>
    <t>PLATE THK</t>
  </si>
  <si>
    <t xml:space="preserve"> G-T SIZE</t>
  </si>
  <si>
    <t>NO WIRES</t>
  </si>
  <si>
    <t>WIDTH</t>
  </si>
  <si>
    <t>ACTUAL</t>
  </si>
  <si>
    <t>CHECK (a)</t>
  </si>
  <si>
    <t>CHECK (1)</t>
  </si>
  <si>
    <t>CHECK (b)</t>
  </si>
  <si>
    <t>GT Part #</t>
  </si>
  <si>
    <t>SIZE</t>
  </si>
  <si>
    <t>WIRE #</t>
  </si>
  <si>
    <t>PROPOSED</t>
  </si>
  <si>
    <t>CHECK (2)</t>
  </si>
  <si>
    <t>GT D1.5 E 0.625”</t>
  </si>
  <si>
    <t>GT D1.5 E 1”</t>
  </si>
  <si>
    <t>GT D1.5 E 1.25”</t>
  </si>
  <si>
    <t>GT D1.5 E 1.5”</t>
  </si>
  <si>
    <t>GT D1.5 E 2.5-2”</t>
  </si>
  <si>
    <t>2SP</t>
  </si>
  <si>
    <t>GT D1.5 E 3-2”</t>
  </si>
  <si>
    <t>2SSP</t>
  </si>
  <si>
    <t>GT D1.5 E 4”</t>
  </si>
  <si>
    <t>3SP&gt;&gt;SPECIAL  3" WIDE G-T WITH 2" WIRE SPACING</t>
  </si>
  <si>
    <t>ARCMATIC FABRICATION REQUIREMENTS</t>
  </si>
  <si>
    <t>DISTANCE BETWEEN WIRES</t>
  </si>
  <si>
    <t xml:space="preserve">MIN DIST BTW WIRE AND EDGE </t>
  </si>
  <si>
    <t>D1.5  SPECIFICATIONS</t>
  </si>
  <si>
    <t>DISTANCE BTWN WIRES</t>
  </si>
  <si>
    <t>N/A</t>
  </si>
  <si>
    <t xml:space="preserve">DIST BTWN WIRE AND TUBE EDGE </t>
  </si>
  <si>
    <t>DISTANCE BTWN G-T EDGE AND SHOE</t>
  </si>
  <si>
    <t>DISTANCE BTWN G-T WIRE AND SHOE</t>
  </si>
  <si>
    <t>Sump Width</t>
  </si>
  <si>
    <t>GT</t>
  </si>
  <si>
    <t>Real Welding Time</t>
  </si>
  <si>
    <t>Minus Initial and Final time</t>
  </si>
  <si>
    <t>Type</t>
  </si>
  <si>
    <t>Speed for Wire Feed #2 as Percent</t>
  </si>
  <si>
    <t>LOW</t>
  </si>
  <si>
    <t>BUTT</t>
  </si>
  <si>
    <t>IMPORTANT NOTES</t>
  </si>
  <si>
    <t>Weld Type</t>
  </si>
  <si>
    <t>and Tee</t>
  </si>
  <si>
    <t>Formula: 3 - Thk/2</t>
  </si>
  <si>
    <t>Ave. Plate</t>
  </si>
  <si>
    <t>Thin Plate</t>
  </si>
  <si>
    <t>Thin</t>
  </si>
  <si>
    <t>HIGH</t>
  </si>
  <si>
    <t>WeldingLength</t>
  </si>
  <si>
    <t xml:space="preserve">Initial </t>
  </si>
  <si>
    <t>G.T.</t>
  </si>
  <si>
    <t>Volt</t>
  </si>
  <si>
    <t>Drop</t>
  </si>
  <si>
    <t>Guide Tube Voltage Drop</t>
  </si>
  <si>
    <t>Flux 1"^3</t>
  </si>
  <si>
    <t>Liquit Ratio</t>
  </si>
  <si>
    <t>PreDump</t>
  </si>
  <si>
    <t>WIRE AND EDGE</t>
  </si>
  <si>
    <t xml:space="preserve">DIST BTWN </t>
  </si>
  <si>
    <t>GT D1.5 E 3/4”</t>
  </si>
  <si>
    <r>
      <t>V.R.R.</t>
    </r>
    <r>
      <rPr>
        <sz val="10"/>
        <color indexed="12"/>
        <rFont val="Arial"/>
        <family val="0"/>
      </rPr>
      <t xml:space="preserve"> = </t>
    </r>
  </si>
  <si>
    <r>
      <t>D 1.5</t>
    </r>
    <r>
      <rPr>
        <sz val="10"/>
        <color indexed="12"/>
        <rFont val="Arial"/>
        <family val="0"/>
      </rPr>
      <t xml:space="preserve"> = </t>
    </r>
  </si>
  <si>
    <r>
      <t>G.T. Volt Drop</t>
    </r>
    <r>
      <rPr>
        <sz val="10"/>
        <color indexed="12"/>
        <rFont val="Arial"/>
        <family val="0"/>
      </rPr>
      <t xml:space="preserve"> =</t>
    </r>
  </si>
  <si>
    <r>
      <t>Plate</t>
    </r>
    <r>
      <rPr>
        <sz val="10"/>
        <color indexed="12"/>
        <rFont val="Arial"/>
        <family val="0"/>
      </rPr>
      <t xml:space="preserve"> </t>
    </r>
    <r>
      <rPr>
        <b/>
        <sz val="10"/>
        <color indexed="12"/>
        <rFont val="Arial"/>
        <family val="2"/>
      </rPr>
      <t>Thk</t>
    </r>
    <r>
      <rPr>
        <sz val="10"/>
        <color indexed="12"/>
        <rFont val="Arial"/>
        <family val="0"/>
      </rPr>
      <t>.=</t>
    </r>
  </si>
  <si>
    <r>
      <t>Weld</t>
    </r>
    <r>
      <rPr>
        <sz val="10"/>
        <color indexed="12"/>
        <rFont val="Arial"/>
        <family val="0"/>
      </rPr>
      <t xml:space="preserve"> </t>
    </r>
    <r>
      <rPr>
        <b/>
        <sz val="10"/>
        <color indexed="12"/>
        <rFont val="Arial"/>
        <family val="2"/>
      </rPr>
      <t>Length</t>
    </r>
    <r>
      <rPr>
        <sz val="10"/>
        <color indexed="12"/>
        <rFont val="Arial"/>
        <family val="0"/>
      </rPr>
      <t xml:space="preserve"> =</t>
    </r>
  </si>
  <si>
    <t>Drop per Foot</t>
  </si>
  <si>
    <t>G.T. Voltage</t>
  </si>
  <si>
    <t>Top Ga</t>
  </si>
  <si>
    <t>Base Ga</t>
  </si>
  <si>
    <t>Top #</t>
  </si>
  <si>
    <t>GT -3",D1.1 ONLY</t>
  </si>
  <si>
    <t>Cable Volt Drop</t>
  </si>
  <si>
    <t>Travel Time</t>
  </si>
  <si>
    <t>Welding Voltage</t>
  </si>
  <si>
    <t>Additional Voltage for</t>
  </si>
  <si>
    <t xml:space="preserve"> Transition Welds</t>
  </si>
  <si>
    <r>
      <t>Less then</t>
    </r>
    <r>
      <rPr>
        <b/>
        <sz val="10"/>
        <rFont val="Arial"/>
        <family val="2"/>
      </rPr>
      <t xml:space="preserve"> 1:2</t>
    </r>
  </si>
  <si>
    <r>
      <t>More then</t>
    </r>
    <r>
      <rPr>
        <b/>
        <sz val="10"/>
        <rFont val="Arial"/>
        <family val="2"/>
      </rPr>
      <t xml:space="preserve"> 1:2</t>
    </r>
  </si>
  <si>
    <t>ARCMATIC RECOMMENDED PARAMETERS</t>
  </si>
  <si>
    <t>Welding GAP</t>
  </si>
  <si>
    <t>Welding Length</t>
  </si>
  <si>
    <t>Sump GAP</t>
  </si>
  <si>
    <t xml:space="preserve">Slope time (Min:Sec) </t>
  </si>
  <si>
    <t>0:20</t>
  </si>
  <si>
    <t>**</t>
  </si>
  <si>
    <t>Substract Sump and Donut length</t>
  </si>
  <si>
    <t>NO</t>
  </si>
  <si>
    <t xml:space="preserve">Transition Landing </t>
  </si>
  <si>
    <t>difference</t>
  </si>
  <si>
    <r>
      <t>WELD TYPE:</t>
    </r>
    <r>
      <rPr>
        <sz val="14"/>
        <color indexed="16"/>
        <rFont val="Arial"/>
        <family val="0"/>
      </rPr>
      <t xml:space="preserve"> </t>
    </r>
    <r>
      <rPr>
        <b/>
        <sz val="14"/>
        <color indexed="16"/>
        <rFont val="Arial"/>
        <family val="0"/>
      </rPr>
      <t>B</t>
    </r>
    <r>
      <rPr>
        <b/>
        <sz val="10"/>
        <color indexed="16"/>
        <rFont val="Arial"/>
        <family val="0"/>
      </rPr>
      <t>-</t>
    </r>
    <r>
      <rPr>
        <sz val="10"/>
        <color indexed="16"/>
        <rFont val="Arial"/>
        <family val="0"/>
      </rPr>
      <t xml:space="preserve">Butt </t>
    </r>
    <r>
      <rPr>
        <b/>
        <sz val="12"/>
        <color indexed="16"/>
        <rFont val="Arial"/>
        <family val="2"/>
      </rPr>
      <t>T</t>
    </r>
    <r>
      <rPr>
        <sz val="10"/>
        <color indexed="16"/>
        <rFont val="Arial"/>
        <family val="0"/>
      </rPr>
      <t xml:space="preserve">-Transition </t>
    </r>
    <r>
      <rPr>
        <sz val="12"/>
        <color indexed="16"/>
        <rFont val="Arial"/>
        <family val="2"/>
      </rPr>
      <t xml:space="preserve"> </t>
    </r>
    <r>
      <rPr>
        <b/>
        <sz val="12"/>
        <color indexed="16"/>
        <rFont val="Arial"/>
        <family val="2"/>
      </rPr>
      <t>C</t>
    </r>
    <r>
      <rPr>
        <sz val="14"/>
        <color indexed="16"/>
        <rFont val="Arial"/>
        <family val="0"/>
      </rPr>
      <t xml:space="preserve"> </t>
    </r>
    <r>
      <rPr>
        <sz val="10"/>
        <color indexed="16"/>
        <rFont val="Arial"/>
        <family val="0"/>
      </rPr>
      <t>- Corner or Tee</t>
    </r>
  </si>
  <si>
    <t>Table for Guide Tubes THK</t>
  </si>
  <si>
    <t>GT D1.5 E 2 1/8”</t>
  </si>
  <si>
    <t>GT D1.5 E 2 5/8”</t>
  </si>
  <si>
    <t>GT D1.5 E 3 5/8”</t>
  </si>
  <si>
    <t>GT D1.5 E 4 5/8”</t>
  </si>
  <si>
    <t>4 5/8 SP</t>
  </si>
  <si>
    <t>Wire #</t>
  </si>
  <si>
    <t>Actual</t>
  </si>
  <si>
    <t>for Transition Corner</t>
  </si>
  <si>
    <t xml:space="preserve">Added Voltage </t>
  </si>
  <si>
    <t>ALL GT ORDERED after 1-6-2012</t>
  </si>
  <si>
    <t>ALL GT ORDERED before 1-5-2012</t>
  </si>
  <si>
    <t>ARCMATIC Welding Programs for D1.1/D1.5/D1.8 - Welds</t>
  </si>
  <si>
    <t xml:space="preserve"> N </t>
  </si>
  <si>
    <t>Ga</t>
  </si>
  <si>
    <t>11-2011</t>
  </si>
  <si>
    <t>Wire Feeder Speed</t>
  </si>
  <si>
    <t>b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</si>
</sst>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m/d/yy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"/>
    <numFmt numFmtId="180" formatCode="0.00000"/>
    <numFmt numFmtId="181" formatCode="0.0000000"/>
    <numFmt numFmtId="182" formatCode="0.00000000"/>
    <numFmt numFmtId="183" formatCode="0.000000000"/>
    <numFmt numFmtId="184" formatCode="#\ ?/8"/>
    <numFmt numFmtId="185" formatCode="m/d/yy\ h:mm\ AM/PM"/>
    <numFmt numFmtId="186" formatCode="#\ ?/2"/>
    <numFmt numFmtId="187" formatCode="#\ ??/16"/>
    <numFmt numFmtId="188" formatCode="[$€-2]\ #,##0.00_);[Red]\([$€-2]\ #,##0.00\)"/>
    <numFmt numFmtId="189" formatCode="[$-409]h:mm:ss\ AM/PM"/>
    <numFmt numFmtId="190" formatCode="0.0%"/>
    <numFmt numFmtId="191" formatCode="0.0000000000"/>
    <numFmt numFmtId="192" formatCode="0.00000000000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b/>
      <sz val="8"/>
      <name val="Arial"/>
      <family val="2"/>
    </font>
    <font>
      <sz val="18"/>
      <name val="Arial"/>
      <family val="0"/>
    </font>
    <font>
      <sz val="20.75"/>
      <name val="Arial"/>
      <family val="0"/>
    </font>
    <font>
      <sz val="11"/>
      <name val="Arial"/>
      <family val="2"/>
    </font>
    <font>
      <sz val="14"/>
      <name val="Arial"/>
      <family val="2"/>
    </font>
    <font>
      <b/>
      <sz val="11.75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u val="single"/>
      <sz val="14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4"/>
      <color indexed="10"/>
      <name val="Arial"/>
      <family val="0"/>
    </font>
    <font>
      <b/>
      <sz val="12"/>
      <color indexed="12"/>
      <name val="Arial"/>
      <family val="2"/>
    </font>
    <font>
      <sz val="10"/>
      <name val="Trebuchet MS"/>
      <family val="2"/>
    </font>
    <font>
      <b/>
      <sz val="10"/>
      <color indexed="16"/>
      <name val="Arial"/>
      <family val="2"/>
    </font>
    <font>
      <u val="single"/>
      <sz val="10"/>
      <color indexed="16"/>
      <name val="Arial"/>
      <family val="0"/>
    </font>
    <font>
      <sz val="10"/>
      <color indexed="16"/>
      <name val="Arial"/>
      <family val="0"/>
    </font>
    <font>
      <sz val="14"/>
      <color indexed="16"/>
      <name val="Arial"/>
      <family val="0"/>
    </font>
    <font>
      <b/>
      <sz val="14"/>
      <color indexed="16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Trebuchet MS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5"/>
      <name val="Trebuchet MS"/>
      <family val="2"/>
    </font>
    <font>
      <sz val="10"/>
      <color indexed="15"/>
      <name val="Arial"/>
      <family val="0"/>
    </font>
    <font>
      <sz val="12"/>
      <color indexed="16"/>
      <name val="Arial"/>
      <family val="2"/>
    </font>
    <font>
      <b/>
      <sz val="12"/>
      <color indexed="16"/>
      <name val="Arial"/>
      <family val="2"/>
    </font>
    <font>
      <sz val="16"/>
      <color indexed="10"/>
      <name val="Arial"/>
      <family val="2"/>
    </font>
    <font>
      <b/>
      <u val="single"/>
      <sz val="13"/>
      <name val="Arial"/>
      <family val="2"/>
    </font>
    <font>
      <b/>
      <sz val="14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2" fontId="1" fillId="3" borderId="17" xfId="0" applyNumberFormat="1" applyFont="1" applyFill="1" applyBorder="1" applyAlignment="1" applyProtection="1">
      <alignment horizontal="center"/>
      <protection locked="0"/>
    </xf>
    <xf numFmtId="172" fontId="1" fillId="3" borderId="1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9" xfId="0" applyBorder="1" applyAlignment="1">
      <alignment/>
    </xf>
    <xf numFmtId="1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2" fontId="1" fillId="3" borderId="22" xfId="0" applyNumberFormat="1" applyFont="1" applyFill="1" applyBorder="1" applyAlignment="1" applyProtection="1">
      <alignment horizontal="center"/>
      <protection locked="0"/>
    </xf>
    <xf numFmtId="1" fontId="0" fillId="4" borderId="0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174" fontId="0" fillId="0" borderId="4" xfId="0" applyNumberFormat="1" applyBorder="1" applyAlignment="1" quotePrefix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0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 quotePrefix="1">
      <alignment horizontal="center"/>
    </xf>
    <xf numFmtId="0" fontId="13" fillId="5" borderId="5" xfId="0" applyFont="1" applyFill="1" applyBorder="1" applyAlignment="1">
      <alignment/>
    </xf>
    <xf numFmtId="0" fontId="13" fillId="5" borderId="6" xfId="0" applyFont="1" applyFill="1" applyBorder="1" applyAlignment="1">
      <alignment/>
    </xf>
    <xf numFmtId="0" fontId="0" fillId="6" borderId="3" xfId="0" applyFill="1" applyBorder="1" applyAlignment="1">
      <alignment/>
    </xf>
    <xf numFmtId="0" fontId="5" fillId="0" borderId="0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3" xfId="0" applyBorder="1" applyAlignment="1">
      <alignment/>
    </xf>
    <xf numFmtId="13" fontId="0" fillId="2" borderId="3" xfId="0" applyNumberFormat="1" applyFill="1" applyBorder="1" applyAlignment="1" quotePrefix="1">
      <alignment/>
    </xf>
    <xf numFmtId="0" fontId="1" fillId="0" borderId="1" xfId="0" applyFont="1" applyBorder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73" fontId="0" fillId="0" borderId="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1" fillId="0" borderId="0" xfId="0" applyFont="1" applyFill="1" applyBorder="1" applyAlignment="1">
      <alignment horizontal="center"/>
    </xf>
    <xf numFmtId="173" fontId="0" fillId="2" borderId="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1" fillId="2" borderId="3" xfId="0" applyNumberFormat="1" applyFont="1" applyFill="1" applyBorder="1" applyAlignment="1">
      <alignment horizontal="center"/>
    </xf>
    <xf numFmtId="13" fontId="1" fillId="2" borderId="3" xfId="0" applyNumberFormat="1" applyFont="1" applyFill="1" applyBorder="1" applyAlignment="1" quotePrefix="1">
      <alignment/>
    </xf>
    <xf numFmtId="173" fontId="1" fillId="2" borderId="3" xfId="0" applyNumberFormat="1" applyFont="1" applyFill="1" applyBorder="1" applyAlignment="1">
      <alignment horizontal="center"/>
    </xf>
    <xf numFmtId="12" fontId="1" fillId="2" borderId="3" xfId="0" applyNumberFormat="1" applyFont="1" applyFill="1" applyBorder="1" applyAlignment="1" quotePrefix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27" xfId="0" applyFill="1" applyBorder="1" applyAlignment="1">
      <alignment/>
    </xf>
    <xf numFmtId="0" fontId="0" fillId="0" borderId="6" xfId="0" applyFill="1" applyBorder="1" applyAlignment="1">
      <alignment/>
    </xf>
    <xf numFmtId="0" fontId="5" fillId="0" borderId="0" xfId="0" applyFont="1" applyAlignment="1">
      <alignment/>
    </xf>
    <xf numFmtId="0" fontId="0" fillId="0" borderId="28" xfId="0" applyBorder="1" applyAlignment="1">
      <alignment/>
    </xf>
    <xf numFmtId="0" fontId="19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29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73" fontId="0" fillId="3" borderId="3" xfId="0" applyNumberFormat="1" applyFill="1" applyBorder="1" applyAlignment="1" applyProtection="1">
      <alignment horizontal="center"/>
      <protection locked="0"/>
    </xf>
    <xf numFmtId="172" fontId="0" fillId="3" borderId="30" xfId="0" applyNumberForma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73" fontId="0" fillId="0" borderId="18" xfId="0" applyNumberForma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" fontId="1" fillId="0" borderId="3" xfId="0" applyNumberFormat="1" applyFont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3" xfId="0" applyBorder="1" applyAlignment="1">
      <alignment horizontal="center" vertical="center" wrapText="1"/>
    </xf>
    <xf numFmtId="173" fontId="1" fillId="6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9" xfId="0" applyFont="1" applyFill="1" applyBorder="1" applyAlignment="1" applyProtection="1">
      <alignment horizontal="center"/>
      <protection locked="0"/>
    </xf>
    <xf numFmtId="172" fontId="0" fillId="3" borderId="0" xfId="0" applyNumberFormat="1" applyFill="1" applyBorder="1" applyAlignment="1" applyProtection="1">
      <alignment horizontal="center"/>
      <protection locked="0"/>
    </xf>
    <xf numFmtId="173" fontId="0" fillId="3" borderId="0" xfId="0" applyNumberForma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4" fontId="0" fillId="0" borderId="0" xfId="0" applyNumberFormat="1" applyAlignment="1">
      <alignment/>
    </xf>
    <xf numFmtId="0" fontId="1" fillId="0" borderId="2" xfId="0" applyFont="1" applyBorder="1" applyAlignment="1">
      <alignment/>
    </xf>
    <xf numFmtId="12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2" xfId="0" applyBorder="1" applyAlignment="1">
      <alignment/>
    </xf>
    <xf numFmtId="0" fontId="1" fillId="7" borderId="3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" fontId="1" fillId="8" borderId="3" xfId="0" applyNumberFormat="1" applyFont="1" applyFill="1" applyBorder="1" applyAlignment="1" applyProtection="1">
      <alignment horizontal="center"/>
      <protection locked="0"/>
    </xf>
    <xf numFmtId="1" fontId="0" fillId="8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3" fontId="1" fillId="2" borderId="31" xfId="0" applyNumberFormat="1" applyFont="1" applyFill="1" applyBorder="1" applyAlignment="1">
      <alignment horizontal="center"/>
    </xf>
    <xf numFmtId="13" fontId="1" fillId="2" borderId="34" xfId="0" applyNumberFormat="1" applyFont="1" applyFill="1" applyBorder="1" applyAlignment="1">
      <alignment horizontal="center"/>
    </xf>
    <xf numFmtId="0" fontId="0" fillId="3" borderId="18" xfId="0" applyFill="1" applyBorder="1" applyAlignment="1" applyProtection="1">
      <alignment horizontal="center"/>
      <protection locked="0"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22" fillId="0" borderId="14" xfId="0" applyFont="1" applyBorder="1" applyAlignment="1">
      <alignment/>
    </xf>
    <xf numFmtId="3" fontId="0" fillId="7" borderId="7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0" xfId="0" applyAlignment="1">
      <alignment vertical="center" wrapText="1"/>
    </xf>
    <xf numFmtId="0" fontId="23" fillId="0" borderId="0" xfId="0" applyFont="1" applyAlignment="1">
      <alignment/>
    </xf>
    <xf numFmtId="0" fontId="23" fillId="0" borderId="38" xfId="0" applyFont="1" applyBorder="1" applyAlignment="1">
      <alignment/>
    </xf>
    <xf numFmtId="0" fontId="23" fillId="0" borderId="28" xfId="0" applyFont="1" applyBorder="1" applyAlignment="1">
      <alignment/>
    </xf>
    <xf numFmtId="0" fontId="19" fillId="0" borderId="39" xfId="0" applyFont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40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12" fontId="0" fillId="0" borderId="3" xfId="0" applyNumberFormat="1" applyFont="1" applyBorder="1" applyAlignment="1">
      <alignment horizontal="center" vertical="center" wrapText="1"/>
    </xf>
    <xf numFmtId="187" fontId="0" fillId="0" borderId="3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/>
    </xf>
    <xf numFmtId="0" fontId="0" fillId="8" borderId="3" xfId="0" applyFill="1" applyBorder="1" applyAlignment="1" applyProtection="1">
      <alignment horizontal="center"/>
      <protection locked="0"/>
    </xf>
    <xf numFmtId="0" fontId="25" fillId="0" borderId="41" xfId="0" applyFont="1" applyBorder="1" applyAlignment="1">
      <alignment/>
    </xf>
    <xf numFmtId="0" fontId="25" fillId="0" borderId="0" xfId="0" applyFont="1" applyBorder="1" applyAlignment="1">
      <alignment horizontal="center"/>
    </xf>
    <xf numFmtId="172" fontId="1" fillId="0" borderId="0" xfId="0" applyNumberFormat="1" applyFont="1" applyBorder="1" applyAlignment="1" quotePrefix="1">
      <alignment horizontal="center"/>
    </xf>
    <xf numFmtId="1" fontId="0" fillId="0" borderId="3" xfId="0" applyNumberFormat="1" applyBorder="1" applyAlignment="1" applyProtection="1">
      <alignment horizontal="center"/>
      <protection locked="0"/>
    </xf>
    <xf numFmtId="173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6" borderId="3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20" fontId="0" fillId="0" borderId="3" xfId="0" applyNumberFormat="1" applyBorder="1" applyAlignment="1" applyProtection="1">
      <alignment horizontal="center"/>
      <protection locked="0"/>
    </xf>
    <xf numFmtId="0" fontId="13" fillId="5" borderId="6" xfId="0" applyFont="1" applyFill="1" applyBorder="1" applyAlignment="1" applyProtection="1">
      <alignment/>
      <protection locked="0"/>
    </xf>
    <xf numFmtId="173" fontId="0" fillId="0" borderId="3" xfId="0" applyNumberFormat="1" applyFont="1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 quotePrefix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2" fontId="8" fillId="0" borderId="4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3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locked="0"/>
    </xf>
    <xf numFmtId="13" fontId="0" fillId="0" borderId="0" xfId="0" applyNumberFormat="1" applyFont="1" applyFill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9" fontId="0" fillId="0" borderId="0" xfId="0" applyNumberForma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 locked="0"/>
    </xf>
    <xf numFmtId="172" fontId="0" fillId="0" borderId="3" xfId="0" applyNumberFormat="1" applyFill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72" fontId="0" fillId="3" borderId="18" xfId="0" applyNumberFormat="1" applyFill="1" applyBorder="1" applyAlignment="1" applyProtection="1">
      <alignment horizontal="center"/>
      <protection locked="0"/>
    </xf>
    <xf numFmtId="1" fontId="0" fillId="0" borderId="40" xfId="0" applyNumberFormat="1" applyBorder="1" applyAlignment="1">
      <alignment horizontal="center"/>
    </xf>
    <xf numFmtId="12" fontId="0" fillId="8" borderId="3" xfId="0" applyNumberFormat="1" applyFill="1" applyBorder="1" applyAlignment="1" applyProtection="1">
      <alignment horizontal="center"/>
      <protection locked="0"/>
    </xf>
    <xf numFmtId="13" fontId="0" fillId="8" borderId="3" xfId="0" applyNumberFormat="1" applyFont="1" applyFill="1" applyBorder="1" applyAlignment="1" applyProtection="1">
      <alignment horizontal="center"/>
      <protection locked="0"/>
    </xf>
    <xf numFmtId="9" fontId="0" fillId="8" borderId="3" xfId="0" applyNumberFormat="1" applyFill="1" applyBorder="1" applyAlignment="1" applyProtection="1">
      <alignment horizontal="center"/>
      <protection locked="0"/>
    </xf>
    <xf numFmtId="13" fontId="0" fillId="0" borderId="0" xfId="0" applyNumberFormat="1" applyFill="1" applyBorder="1" applyAlignment="1" quotePrefix="1">
      <alignment/>
    </xf>
    <xf numFmtId="2" fontId="1" fillId="0" borderId="0" xfId="0" applyNumberFormat="1" applyFont="1" applyFill="1" applyBorder="1" applyAlignment="1" quotePrefix="1">
      <alignment horizontal="center"/>
    </xf>
    <xf numFmtId="173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quotePrefix="1">
      <alignment horizontal="center"/>
    </xf>
    <xf numFmtId="9" fontId="1" fillId="0" borderId="0" xfId="0" applyNumberFormat="1" applyFont="1" applyFill="1" applyBorder="1" applyAlignment="1" quotePrefix="1">
      <alignment horizontal="center"/>
    </xf>
    <xf numFmtId="0" fontId="0" fillId="0" borderId="38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wrapText="1"/>
    </xf>
    <xf numFmtId="1" fontId="1" fillId="2" borderId="31" xfId="0" applyNumberFormat="1" applyFon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3" fontId="0" fillId="2" borderId="18" xfId="0" applyNumberFormat="1" applyFill="1" applyBorder="1" applyAlignment="1" quotePrefix="1">
      <alignment/>
    </xf>
    <xf numFmtId="2" fontId="1" fillId="2" borderId="18" xfId="0" applyNumberFormat="1" applyFont="1" applyFill="1" applyBorder="1" applyAlignment="1" quotePrefix="1">
      <alignment horizontal="center"/>
    </xf>
    <xf numFmtId="1" fontId="1" fillId="2" borderId="18" xfId="0" applyNumberFormat="1" applyFont="1" applyFill="1" applyBorder="1" applyAlignment="1">
      <alignment horizontal="center"/>
    </xf>
    <xf numFmtId="173" fontId="0" fillId="2" borderId="18" xfId="0" applyNumberFormat="1" applyFill="1" applyBorder="1" applyAlignment="1">
      <alignment horizontal="center"/>
    </xf>
    <xf numFmtId="173" fontId="1" fillId="6" borderId="18" xfId="0" applyNumberFormat="1" applyFont="1" applyFill="1" applyBorder="1" applyAlignment="1">
      <alignment horizontal="center"/>
    </xf>
    <xf numFmtId="0" fontId="0" fillId="0" borderId="18" xfId="0" applyBorder="1" applyAlignment="1" quotePrefix="1">
      <alignment horizontal="center"/>
    </xf>
    <xf numFmtId="1" fontId="1" fillId="0" borderId="18" xfId="0" applyNumberFormat="1" applyFont="1" applyBorder="1" applyAlignment="1" quotePrefix="1">
      <alignment horizontal="center"/>
    </xf>
    <xf numFmtId="0" fontId="1" fillId="0" borderId="18" xfId="0" applyFont="1" applyFill="1" applyBorder="1" applyAlignment="1">
      <alignment horizontal="center"/>
    </xf>
    <xf numFmtId="9" fontId="1" fillId="0" borderId="3" xfId="0" applyNumberFormat="1" applyFont="1" applyBorder="1" applyAlignment="1" quotePrefix="1">
      <alignment horizontal="center"/>
    </xf>
    <xf numFmtId="172" fontId="1" fillId="0" borderId="3" xfId="0" applyNumberFormat="1" applyFont="1" applyBorder="1" applyAlignment="1" quotePrefix="1">
      <alignment horizontal="center"/>
    </xf>
    <xf numFmtId="9" fontId="1" fillId="0" borderId="3" xfId="0" applyNumberFormat="1" applyFont="1" applyBorder="1" applyAlignment="1">
      <alignment/>
    </xf>
    <xf numFmtId="9" fontId="0" fillId="0" borderId="3" xfId="0" applyNumberFormat="1" applyBorder="1" applyAlignment="1">
      <alignment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9" fontId="1" fillId="0" borderId="18" xfId="0" applyNumberFormat="1" applyFont="1" applyBorder="1" applyAlignment="1" quotePrefix="1">
      <alignment horizontal="center"/>
    </xf>
    <xf numFmtId="9" fontId="0" fillId="0" borderId="18" xfId="0" applyNumberFormat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" fontId="1" fillId="7" borderId="41" xfId="0" applyNumberFormat="1" applyFont="1" applyFill="1" applyBorder="1" applyAlignment="1" applyProtection="1">
      <alignment horizontal="center"/>
      <protection/>
    </xf>
    <xf numFmtId="2" fontId="8" fillId="0" borderId="9" xfId="0" applyNumberFormat="1" applyFont="1" applyBorder="1" applyAlignment="1">
      <alignment horizontal="center"/>
    </xf>
    <xf numFmtId="175" fontId="0" fillId="0" borderId="18" xfId="0" applyNumberFormat="1" applyFill="1" applyBorder="1" applyAlignment="1">
      <alignment horizontal="center"/>
    </xf>
    <xf numFmtId="9" fontId="0" fillId="3" borderId="42" xfId="0" applyNumberFormat="1" applyFill="1" applyBorder="1" applyAlignment="1" applyProtection="1">
      <alignment horizontal="center"/>
      <protection locked="0"/>
    </xf>
    <xf numFmtId="1" fontId="1" fillId="7" borderId="4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1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/>
    </xf>
    <xf numFmtId="13" fontId="0" fillId="9" borderId="43" xfId="0" applyNumberFormat="1" applyFill="1" applyBorder="1" applyAlignment="1" applyProtection="1">
      <alignment horizontal="center"/>
      <protection locked="0"/>
    </xf>
    <xf numFmtId="1" fontId="0" fillId="0" borderId="43" xfId="0" applyNumberFormat="1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0" fontId="26" fillId="0" borderId="43" xfId="0" applyFont="1" applyBorder="1" applyAlignment="1">
      <alignment wrapText="1"/>
    </xf>
    <xf numFmtId="13" fontId="0" fillId="0" borderId="44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2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11" borderId="43" xfId="0" applyFill="1" applyBorder="1" applyAlignment="1">
      <alignment horizontal="center"/>
    </xf>
    <xf numFmtId="1" fontId="0" fillId="12" borderId="43" xfId="0" applyNumberFormat="1" applyFill="1" applyBorder="1" applyAlignment="1">
      <alignment horizontal="center"/>
    </xf>
    <xf numFmtId="0" fontId="0" fillId="12" borderId="43" xfId="0" applyFill="1" applyBorder="1" applyAlignment="1">
      <alignment horizontal="center"/>
    </xf>
    <xf numFmtId="13" fontId="0" fillId="0" borderId="0" xfId="0" applyNumberFormat="1" applyFont="1" applyAlignment="1">
      <alignment horizontal="left"/>
    </xf>
    <xf numFmtId="0" fontId="0" fillId="11" borderId="43" xfId="0" applyNumberFormat="1" applyFill="1" applyBorder="1" applyAlignment="1">
      <alignment horizontal="center"/>
    </xf>
    <xf numFmtId="172" fontId="0" fillId="11" borderId="43" xfId="0" applyNumberForma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13" fontId="0" fillId="0" borderId="44" xfId="0" applyNumberFormat="1" applyFont="1" applyBorder="1" applyAlignment="1">
      <alignment horizontal="right"/>
    </xf>
    <xf numFmtId="0" fontId="0" fillId="0" borderId="45" xfId="0" applyFont="1" applyBorder="1" applyAlignment="1">
      <alignment/>
    </xf>
    <xf numFmtId="0" fontId="0" fillId="12" borderId="43" xfId="0" applyNumberFormat="1" applyFill="1" applyBorder="1" applyAlignment="1">
      <alignment horizontal="center"/>
    </xf>
    <xf numFmtId="13" fontId="0" fillId="12" borderId="43" xfId="0" applyNumberFormat="1" applyFont="1" applyFill="1" applyBorder="1" applyAlignment="1" applyProtection="1">
      <alignment horizontal="center"/>
      <protection locked="0"/>
    </xf>
    <xf numFmtId="172" fontId="0" fillId="12" borderId="43" xfId="0" applyNumberFormat="1" applyFill="1" applyBorder="1" applyAlignment="1">
      <alignment horizontal="center"/>
    </xf>
    <xf numFmtId="13" fontId="1" fillId="0" borderId="0" xfId="0" applyNumberFormat="1" applyFont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Fill="1" applyBorder="1" applyAlignment="1">
      <alignment horizontal="center"/>
    </xf>
    <xf numFmtId="13" fontId="0" fillId="0" borderId="46" xfId="0" applyNumberFormat="1" applyBorder="1" applyAlignment="1">
      <alignment horizontal="center"/>
    </xf>
    <xf numFmtId="0" fontId="0" fillId="0" borderId="44" xfId="0" applyFont="1" applyBorder="1" applyAlignment="1">
      <alignment horizontal="right"/>
    </xf>
    <xf numFmtId="13" fontId="0" fillId="0" borderId="0" xfId="0" applyNumberFormat="1" applyFill="1" applyBorder="1" applyAlignment="1" applyProtection="1">
      <alignment horizontal="center"/>
      <protection locked="0"/>
    </xf>
    <xf numFmtId="2" fontId="0" fillId="0" borderId="43" xfId="0" applyNumberFormat="1" applyBorder="1" applyAlignment="1">
      <alignment horizontal="center"/>
    </xf>
    <xf numFmtId="1" fontId="1" fillId="0" borderId="18" xfId="0" applyNumberFormat="1" applyFont="1" applyBorder="1" applyAlignment="1" applyProtection="1">
      <alignment horizontal="center"/>
      <protection locked="0"/>
    </xf>
    <xf numFmtId="175" fontId="0" fillId="0" borderId="18" xfId="0" applyNumberFormat="1" applyFont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27" fillId="0" borderId="34" xfId="0" applyFont="1" applyBorder="1" applyAlignment="1">
      <alignment/>
    </xf>
    <xf numFmtId="0" fontId="28" fillId="0" borderId="0" xfId="0" applyFont="1" applyBorder="1" applyAlignment="1">
      <alignment/>
    </xf>
    <xf numFmtId="173" fontId="1" fillId="3" borderId="3" xfId="0" applyNumberFormat="1" applyFont="1" applyFill="1" applyBorder="1" applyAlignment="1" applyProtection="1" quotePrefix="1">
      <alignment horizontal="center"/>
      <protection locked="0"/>
    </xf>
    <xf numFmtId="173" fontId="0" fillId="0" borderId="3" xfId="0" applyNumberForma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4" fontId="0" fillId="8" borderId="37" xfId="0" applyNumberFormat="1" applyFill="1" applyBorder="1" applyAlignment="1" applyProtection="1">
      <alignment horizontal="center"/>
      <protection locked="0"/>
    </xf>
    <xf numFmtId="2" fontId="0" fillId="13" borderId="40" xfId="0" applyNumberFormat="1" applyFont="1" applyFill="1" applyBorder="1" applyAlignment="1" applyProtection="1">
      <alignment horizontal="center"/>
      <protection/>
    </xf>
    <xf numFmtId="2" fontId="0" fillId="0" borderId="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 wrapText="1"/>
    </xf>
    <xf numFmtId="0" fontId="29" fillId="2" borderId="35" xfId="0" applyFont="1" applyFill="1" applyBorder="1" applyAlignment="1">
      <alignment/>
    </xf>
    <xf numFmtId="13" fontId="27" fillId="2" borderId="32" xfId="0" applyNumberFormat="1" applyFont="1" applyFill="1" applyBorder="1" applyAlignment="1">
      <alignment horizontal="center"/>
    </xf>
    <xf numFmtId="1" fontId="27" fillId="2" borderId="32" xfId="0" applyNumberFormat="1" applyFont="1" applyFill="1" applyBorder="1" applyAlignment="1">
      <alignment horizontal="center"/>
    </xf>
    <xf numFmtId="13" fontId="29" fillId="2" borderId="32" xfId="0" applyNumberFormat="1" applyFont="1" applyFill="1" applyBorder="1" applyAlignment="1">
      <alignment horizontal="center"/>
    </xf>
    <xf numFmtId="175" fontId="29" fillId="2" borderId="36" xfId="0" applyNumberFormat="1" applyFont="1" applyFill="1" applyBorder="1" applyAlignment="1">
      <alignment horizontal="center"/>
    </xf>
    <xf numFmtId="173" fontId="29" fillId="0" borderId="0" xfId="0" applyNumberFormat="1" applyFont="1" applyFill="1" applyBorder="1" applyAlignment="1">
      <alignment horizontal="center"/>
    </xf>
    <xf numFmtId="0" fontId="0" fillId="3" borderId="42" xfId="0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1" fontId="0" fillId="8" borderId="3" xfId="0" applyNumberFormat="1" applyFont="1" applyFill="1" applyBorder="1" applyAlignment="1" applyProtection="1">
      <alignment horizontal="center"/>
      <protection locked="0"/>
    </xf>
    <xf numFmtId="175" fontId="0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2" fontId="0" fillId="8" borderId="18" xfId="0" applyNumberFormat="1" applyFill="1" applyBorder="1" applyAlignment="1" applyProtection="1">
      <alignment horizontal="center"/>
      <protection locked="0"/>
    </xf>
    <xf numFmtId="1" fontId="0" fillId="8" borderId="18" xfId="0" applyNumberFormat="1" applyFont="1" applyFill="1" applyBorder="1" applyAlignment="1" applyProtection="1">
      <alignment horizontal="center"/>
      <protection locked="0"/>
    </xf>
    <xf numFmtId="175" fontId="0" fillId="0" borderId="18" xfId="0" applyNumberFormat="1" applyFont="1" applyBorder="1" applyAlignment="1">
      <alignment horizontal="center"/>
    </xf>
    <xf numFmtId="9" fontId="0" fillId="8" borderId="18" xfId="0" applyNumberForma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1" fontId="1" fillId="7" borderId="0" xfId="0" applyNumberFormat="1" applyFont="1" applyFill="1" applyBorder="1" applyAlignment="1" applyProtection="1">
      <alignment horizontal="center"/>
      <protection/>
    </xf>
    <xf numFmtId="1" fontId="1" fillId="7" borderId="37" xfId="0" applyNumberFormat="1" applyFont="1" applyFill="1" applyBorder="1" applyAlignment="1" applyProtection="1">
      <alignment horizontal="center"/>
      <protection/>
    </xf>
    <xf numFmtId="0" fontId="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0" fillId="7" borderId="3" xfId="0" applyNumberForma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1" fontId="0" fillId="0" borderId="3" xfId="0" applyNumberFormat="1" applyBorder="1" applyAlignment="1" applyProtection="1">
      <alignment horizontal="center"/>
      <protection/>
    </xf>
    <xf numFmtId="1" fontId="0" fillId="0" borderId="37" xfId="0" applyNumberFormat="1" applyBorder="1" applyAlignment="1" applyProtection="1">
      <alignment horizontal="center"/>
      <protection/>
    </xf>
    <xf numFmtId="3" fontId="0" fillId="7" borderId="18" xfId="0" applyNumberForma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1" fontId="0" fillId="0" borderId="18" xfId="0" applyNumberFormat="1" applyBorder="1" applyAlignment="1" applyProtection="1">
      <alignment horizontal="center"/>
      <protection/>
    </xf>
    <xf numFmtId="1" fontId="0" fillId="0" borderId="40" xfId="0" applyNumberFormat="1" applyBorder="1" applyAlignment="1" applyProtection="1">
      <alignment horizontal="center"/>
      <protection/>
    </xf>
    <xf numFmtId="13" fontId="1" fillId="3" borderId="3" xfId="0" applyNumberFormat="1" applyFont="1" applyFill="1" applyBorder="1" applyAlignment="1" applyProtection="1">
      <alignment horizontal="center"/>
      <protection locked="0"/>
    </xf>
    <xf numFmtId="13" fontId="1" fillId="3" borderId="18" xfId="0" applyNumberFormat="1" applyFont="1" applyFill="1" applyBorder="1" applyAlignment="1" applyProtection="1">
      <alignment horizontal="center"/>
      <protection locked="0"/>
    </xf>
    <xf numFmtId="2" fontId="1" fillId="7" borderId="18" xfId="0" applyNumberFormat="1" applyFont="1" applyFill="1" applyBorder="1" applyAlignment="1" applyProtection="1">
      <alignment horizontal="center"/>
      <protection/>
    </xf>
    <xf numFmtId="2" fontId="0" fillId="7" borderId="3" xfId="0" applyNumberFormat="1" applyFill="1" applyBorder="1" applyAlignment="1" applyProtection="1">
      <alignment horizontal="center"/>
      <protection/>
    </xf>
    <xf numFmtId="2" fontId="0" fillId="7" borderId="18" xfId="0" applyNumberFormat="1" applyFill="1" applyBorder="1" applyAlignment="1" applyProtection="1">
      <alignment horizontal="center"/>
      <protection/>
    </xf>
    <xf numFmtId="2" fontId="1" fillId="7" borderId="3" xfId="0" applyNumberFormat="1" applyFont="1" applyFill="1" applyBorder="1" applyAlignment="1" applyProtection="1">
      <alignment horizontal="center"/>
      <protection/>
    </xf>
    <xf numFmtId="0" fontId="1" fillId="0" borderId="7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172" fontId="1" fillId="0" borderId="3" xfId="0" applyNumberFormat="1" applyFont="1" applyFill="1" applyBorder="1" applyAlignment="1" applyProtection="1">
      <alignment horizontal="center"/>
      <protection/>
    </xf>
    <xf numFmtId="172" fontId="1" fillId="0" borderId="18" xfId="0" applyNumberFormat="1" applyFont="1" applyFill="1" applyBorder="1" applyAlignment="1" applyProtection="1">
      <alignment horizontal="center"/>
      <protection/>
    </xf>
    <xf numFmtId="187" fontId="0" fillId="0" borderId="43" xfId="0" applyNumberFormat="1" applyFill="1" applyBorder="1" applyAlignment="1">
      <alignment horizontal="center"/>
    </xf>
    <xf numFmtId="12" fontId="0" fillId="0" borderId="43" xfId="0" applyNumberForma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top"/>
    </xf>
    <xf numFmtId="13" fontId="1" fillId="2" borderId="13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/>
    </xf>
    <xf numFmtId="13" fontId="0" fillId="8" borderId="7" xfId="0" applyNumberFormat="1" applyFont="1" applyFill="1" applyBorder="1" applyAlignment="1" applyProtection="1">
      <alignment horizontal="center"/>
      <protection locked="0"/>
    </xf>
    <xf numFmtId="1" fontId="0" fillId="8" borderId="7" xfId="0" applyNumberFormat="1" applyFont="1" applyFill="1" applyBorder="1" applyAlignment="1" applyProtection="1">
      <alignment horizontal="center"/>
      <protection locked="0"/>
    </xf>
    <xf numFmtId="175" fontId="0" fillId="0" borderId="7" xfId="0" applyNumberFormat="1" applyFont="1" applyBorder="1" applyAlignment="1">
      <alignment horizontal="center"/>
    </xf>
    <xf numFmtId="173" fontId="0" fillId="0" borderId="7" xfId="0" applyNumberFormat="1" applyFill="1" applyBorder="1" applyAlignment="1">
      <alignment horizontal="center"/>
    </xf>
    <xf numFmtId="173" fontId="0" fillId="8" borderId="7" xfId="0" applyNumberFormat="1" applyFill="1" applyBorder="1" applyAlignment="1" applyProtection="1">
      <alignment horizontal="center"/>
      <protection locked="0"/>
    </xf>
    <xf numFmtId="9" fontId="0" fillId="8" borderId="7" xfId="0" applyNumberFormat="1" applyFill="1" applyBorder="1" applyAlignment="1" applyProtection="1">
      <alignment horizontal="center"/>
      <protection locked="0"/>
    </xf>
    <xf numFmtId="1" fontId="1" fillId="7" borderId="48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22" fillId="0" borderId="31" xfId="0" applyFont="1" applyFill="1" applyBorder="1" applyAlignment="1">
      <alignment horizontal="center"/>
    </xf>
    <xf numFmtId="2" fontId="0" fillId="2" borderId="37" xfId="0" applyNumberFormat="1" applyFill="1" applyBorder="1" applyAlignment="1">
      <alignment horizontal="center"/>
    </xf>
    <xf numFmtId="1" fontId="1" fillId="8" borderId="21" xfId="0" applyNumberFormat="1" applyFont="1" applyFill="1" applyBorder="1" applyAlignment="1" applyProtection="1">
      <alignment horizontal="center"/>
      <protection locked="0"/>
    </xf>
    <xf numFmtId="2" fontId="0" fillId="8" borderId="7" xfId="0" applyNumberForma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33" fillId="0" borderId="3" xfId="0" applyFont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1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184" fontId="0" fillId="0" borderId="2" xfId="0" applyNumberFormat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28" fillId="0" borderId="35" xfId="0" applyFont="1" applyBorder="1" applyAlignment="1">
      <alignment/>
    </xf>
    <xf numFmtId="0" fontId="0" fillId="8" borderId="50" xfId="0" applyFill="1" applyBorder="1" applyAlignment="1" applyProtection="1">
      <alignment horizontal="center"/>
      <protection locked="0"/>
    </xf>
    <xf numFmtId="0" fontId="28" fillId="0" borderId="1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8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3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9" fontId="1" fillId="3" borderId="3" xfId="0" applyNumberFormat="1" applyFont="1" applyFill="1" applyBorder="1" applyAlignment="1" applyProtection="1">
      <alignment horizontal="center"/>
      <protection locked="0"/>
    </xf>
    <xf numFmtId="0" fontId="1" fillId="0" borderId="51" xfId="0" applyFont="1" applyFill="1" applyBorder="1" applyAlignment="1" applyProtection="1">
      <alignment horizontal="center"/>
      <protection locked="0"/>
    </xf>
    <xf numFmtId="0" fontId="0" fillId="14" borderId="3" xfId="0" applyFill="1" applyBorder="1" applyAlignment="1" applyProtection="1">
      <alignment horizontal="center"/>
      <protection locked="0"/>
    </xf>
    <xf numFmtId="9" fontId="1" fillId="14" borderId="3" xfId="0" applyNumberFormat="1" applyFont="1" applyFill="1" applyBorder="1" applyAlignment="1" applyProtection="1">
      <alignment horizontal="center"/>
      <protection locked="0"/>
    </xf>
    <xf numFmtId="0" fontId="10" fillId="0" borderId="43" xfId="0" applyFont="1" applyBorder="1" applyAlignment="1">
      <alignment horizontal="center" vertical="center" wrapText="1"/>
    </xf>
    <xf numFmtId="14" fontId="10" fillId="0" borderId="0" xfId="0" applyNumberFormat="1" applyFont="1" applyAlignment="1">
      <alignment/>
    </xf>
    <xf numFmtId="0" fontId="0" fillId="0" borderId="52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19" xfId="0" applyBorder="1" applyAlignment="1">
      <alignment horizontal="center"/>
    </xf>
    <xf numFmtId="0" fontId="10" fillId="0" borderId="44" xfId="0" applyFont="1" applyBorder="1" applyAlignment="1">
      <alignment/>
    </xf>
    <xf numFmtId="13" fontId="22" fillId="2" borderId="44" xfId="0" applyNumberFormat="1" applyFont="1" applyFill="1" applyBorder="1" applyAlignment="1">
      <alignment horizontal="center"/>
    </xf>
    <xf numFmtId="1" fontId="22" fillId="2" borderId="43" xfId="0" applyNumberFormat="1" applyFont="1" applyFill="1" applyBorder="1" applyAlignment="1">
      <alignment horizontal="center"/>
    </xf>
    <xf numFmtId="172" fontId="22" fillId="2" borderId="43" xfId="0" applyNumberFormat="1" applyFont="1" applyFill="1" applyBorder="1" applyAlignment="1">
      <alignment horizontal="center"/>
    </xf>
    <xf numFmtId="0" fontId="22" fillId="2" borderId="43" xfId="0" applyFont="1" applyFill="1" applyBorder="1" applyAlignment="1">
      <alignment horizontal="center"/>
    </xf>
    <xf numFmtId="0" fontId="34" fillId="0" borderId="43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3" borderId="24" xfId="0" applyNumberFormat="1" applyFont="1" applyFill="1" applyBorder="1" applyAlignment="1" applyProtection="1">
      <alignment horizontal="center" vertical="center"/>
      <protection locked="0"/>
    </xf>
    <xf numFmtId="2" fontId="1" fillId="3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3" fontId="1" fillId="3" borderId="24" xfId="0" applyNumberFormat="1" applyFont="1" applyFill="1" applyBorder="1" applyAlignment="1" applyProtection="1">
      <alignment horizontal="center"/>
      <protection locked="0"/>
    </xf>
    <xf numFmtId="173" fontId="1" fillId="3" borderId="26" xfId="0" applyNumberFormat="1" applyFont="1" applyFill="1" applyBorder="1" applyAlignment="1" applyProtection="1">
      <alignment horizontal="center"/>
      <protection locked="0"/>
    </xf>
    <xf numFmtId="0" fontId="0" fillId="0" borderId="53" xfId="0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26" fillId="0" borderId="54" xfId="0" applyFont="1" applyBorder="1" applyAlignment="1">
      <alignment wrapText="1"/>
    </xf>
    <xf numFmtId="13" fontId="0" fillId="0" borderId="55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72" fontId="0" fillId="0" borderId="54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26" fillId="0" borderId="52" xfId="0" applyFont="1" applyBorder="1" applyAlignment="1">
      <alignment wrapText="1"/>
    </xf>
    <xf numFmtId="0" fontId="0" fillId="12" borderId="56" xfId="0" applyFont="1" applyFill="1" applyBorder="1" applyAlignment="1">
      <alignment horizontal="center"/>
    </xf>
    <xf numFmtId="1" fontId="0" fillId="12" borderId="52" xfId="0" applyNumberFormat="1" applyFill="1" applyBorder="1" applyAlignment="1">
      <alignment horizontal="center"/>
    </xf>
    <xf numFmtId="0" fontId="0" fillId="12" borderId="52" xfId="0" applyFill="1" applyBorder="1" applyAlignment="1">
      <alignment horizontal="center"/>
    </xf>
    <xf numFmtId="0" fontId="26" fillId="0" borderId="3" xfId="0" applyFont="1" applyBorder="1" applyAlignment="1">
      <alignment wrapText="1"/>
    </xf>
    <xf numFmtId="13" fontId="0" fillId="0" borderId="3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11" borderId="3" xfId="0" applyNumberFormat="1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9" fillId="15" borderId="0" xfId="0" applyFont="1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33" fillId="0" borderId="3" xfId="0" applyFont="1" applyFill="1" applyBorder="1" applyAlignment="1">
      <alignment horizontal="left"/>
    </xf>
    <xf numFmtId="0" fontId="33" fillId="0" borderId="3" xfId="0" applyFont="1" applyFill="1" applyBorder="1" applyAlignment="1">
      <alignment/>
    </xf>
    <xf numFmtId="0" fontId="33" fillId="0" borderId="7" xfId="0" applyFont="1" applyBorder="1" applyAlignment="1">
      <alignment/>
    </xf>
    <xf numFmtId="0" fontId="35" fillId="0" borderId="3" xfId="0" applyFont="1" applyBorder="1" applyAlignment="1">
      <alignment/>
    </xf>
    <xf numFmtId="0" fontId="35" fillId="0" borderId="3" xfId="0" applyFont="1" applyFill="1" applyBorder="1" applyAlignment="1">
      <alignment/>
    </xf>
    <xf numFmtId="0" fontId="0" fillId="0" borderId="21" xfId="0" applyBorder="1" applyAlignment="1">
      <alignment/>
    </xf>
    <xf numFmtId="173" fontId="0" fillId="7" borderId="7" xfId="0" applyNumberFormat="1" applyFill="1" applyBorder="1" applyAlignment="1" applyProtection="1">
      <alignment horizontal="center"/>
      <protection/>
    </xf>
    <xf numFmtId="0" fontId="36" fillId="0" borderId="8" xfId="0" applyFont="1" applyBorder="1" applyAlignment="1">
      <alignment/>
    </xf>
    <xf numFmtId="0" fontId="36" fillId="0" borderId="23" xfId="0" applyFont="1" applyBorder="1" applyAlignment="1">
      <alignment/>
    </xf>
    <xf numFmtId="173" fontId="0" fillId="0" borderId="0" xfId="0" applyNumberFormat="1" applyAlignment="1" applyProtection="1">
      <alignment horizontal="center"/>
      <protection locked="0"/>
    </xf>
    <xf numFmtId="2" fontId="0" fillId="0" borderId="48" xfId="0" applyNumberFormat="1" applyBorder="1" applyAlignment="1">
      <alignment horizontal="center"/>
    </xf>
    <xf numFmtId="13" fontId="0" fillId="0" borderId="0" xfId="0" applyNumberFormat="1" applyBorder="1" applyAlignment="1" applyProtection="1">
      <alignment/>
      <protection locked="0"/>
    </xf>
    <xf numFmtId="180" fontId="0" fillId="0" borderId="0" xfId="0" applyNumberFormat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12" fontId="1" fillId="7" borderId="30" xfId="0" applyNumberFormat="1" applyFont="1" applyFill="1" applyBorder="1" applyAlignment="1" applyProtection="1">
      <alignment horizontal="center"/>
      <protection/>
    </xf>
    <xf numFmtId="12" fontId="1" fillId="7" borderId="57" xfId="0" applyNumberFormat="1" applyFon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 wrapText="1"/>
      <protection/>
    </xf>
    <xf numFmtId="0" fontId="0" fillId="0" borderId="3" xfId="0" applyFill="1" applyBorder="1" applyAlignment="1" applyProtection="1">
      <alignment horizontal="center" wrapText="1"/>
      <protection/>
    </xf>
    <xf numFmtId="9" fontId="0" fillId="0" borderId="3" xfId="0" applyNumberForma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12" fontId="2" fillId="0" borderId="30" xfId="0" applyNumberFormat="1" applyFont="1" applyFill="1" applyBorder="1" applyAlignment="1">
      <alignment horizontal="center"/>
    </xf>
    <xf numFmtId="0" fontId="0" fillId="0" borderId="3" xfId="0" applyFill="1" applyBorder="1" applyAlignment="1" applyProtection="1">
      <alignment/>
      <protection/>
    </xf>
    <xf numFmtId="9" fontId="0" fillId="0" borderId="3" xfId="0" applyNumberFormat="1" applyFill="1" applyBorder="1" applyAlignment="1" applyProtection="1">
      <alignment horizontal="center"/>
      <protection/>
    </xf>
    <xf numFmtId="0" fontId="11" fillId="14" borderId="11" xfId="0" applyFont="1" applyFill="1" applyBorder="1" applyAlignment="1">
      <alignment horizontal="center" wrapText="1"/>
    </xf>
    <xf numFmtId="0" fontId="0" fillId="14" borderId="58" xfId="0" applyFill="1" applyBorder="1" applyAlignment="1" applyProtection="1">
      <alignment horizontal="center" wrapText="1"/>
      <protection/>
    </xf>
    <xf numFmtId="0" fontId="0" fillId="14" borderId="11" xfId="0" applyFill="1" applyBorder="1" applyAlignment="1" applyProtection="1">
      <alignment horizontal="center" wrapText="1"/>
      <protection/>
    </xf>
    <xf numFmtId="173" fontId="0" fillId="14" borderId="31" xfId="0" applyNumberFormat="1" applyFill="1" applyBorder="1" applyAlignment="1" applyProtection="1">
      <alignment horizontal="center"/>
      <protection locked="0"/>
    </xf>
    <xf numFmtId="0" fontId="0" fillId="14" borderId="3" xfId="0" applyFill="1" applyBorder="1" applyAlignment="1">
      <alignment/>
    </xf>
    <xf numFmtId="0" fontId="2" fillId="14" borderId="37" xfId="0" applyFont="1" applyFill="1" applyBorder="1" applyAlignment="1">
      <alignment horizontal="center"/>
    </xf>
    <xf numFmtId="173" fontId="0" fillId="14" borderId="3" xfId="0" applyNumberFormat="1" applyFill="1" applyBorder="1" applyAlignment="1" applyProtection="1">
      <alignment horizontal="center"/>
      <protection locked="0"/>
    </xf>
    <xf numFmtId="1" fontId="1" fillId="14" borderId="37" xfId="0" applyNumberFormat="1" applyFont="1" applyFill="1" applyBorder="1" applyAlignment="1" applyProtection="1">
      <alignment horizontal="center"/>
      <protection/>
    </xf>
    <xf numFmtId="173" fontId="0" fillId="14" borderId="34" xfId="0" applyNumberFormat="1" applyFill="1" applyBorder="1" applyAlignment="1" applyProtection="1">
      <alignment horizontal="center"/>
      <protection locked="0"/>
    </xf>
    <xf numFmtId="173" fontId="0" fillId="14" borderId="18" xfId="0" applyNumberFormat="1" applyFill="1" applyBorder="1" applyAlignment="1" applyProtection="1">
      <alignment horizontal="center"/>
      <protection locked="0"/>
    </xf>
    <xf numFmtId="1" fontId="1" fillId="14" borderId="40" xfId="0" applyNumberFormat="1" applyFont="1" applyFill="1" applyBorder="1" applyAlignment="1" applyProtection="1">
      <alignment horizontal="center"/>
      <protection/>
    </xf>
    <xf numFmtId="0" fontId="0" fillId="8" borderId="3" xfId="0" applyFill="1" applyBorder="1" applyAlignment="1">
      <alignment/>
    </xf>
    <xf numFmtId="13" fontId="0" fillId="0" borderId="2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12" fontId="1" fillId="0" borderId="24" xfId="0" applyNumberFormat="1" applyFont="1" applyFill="1" applyBorder="1" applyAlignment="1" applyProtection="1">
      <alignment horizontal="center"/>
      <protection locked="0"/>
    </xf>
    <xf numFmtId="12" fontId="1" fillId="0" borderId="26" xfId="0" applyNumberFormat="1" applyFont="1" applyFill="1" applyBorder="1" applyAlignment="1" applyProtection="1">
      <alignment horizontal="center"/>
      <protection locked="0"/>
    </xf>
    <xf numFmtId="187" fontId="1" fillId="0" borderId="35" xfId="0" applyNumberFormat="1" applyFont="1" applyFill="1" applyBorder="1" applyAlignment="1" applyProtection="1">
      <alignment horizontal="center"/>
      <protection locked="0"/>
    </xf>
    <xf numFmtId="187" fontId="1" fillId="0" borderId="36" xfId="0" applyNumberFormat="1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" fontId="1" fillId="16" borderId="3" xfId="0" applyNumberFormat="1" applyFont="1" applyFill="1" applyBorder="1" applyAlignment="1">
      <alignment horizontal="center"/>
    </xf>
    <xf numFmtId="1" fontId="1" fillId="16" borderId="18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20" fillId="0" borderId="0" xfId="0" applyFont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right"/>
      <protection locked="0"/>
    </xf>
    <xf numFmtId="12" fontId="0" fillId="7" borderId="3" xfId="0" applyNumberFormat="1" applyFill="1" applyBorder="1" applyAlignment="1" applyProtection="1">
      <alignment horizontal="center"/>
      <protection locked="0"/>
    </xf>
    <xf numFmtId="0" fontId="0" fillId="7" borderId="3" xfId="0" applyNumberFormat="1" applyFill="1" applyBorder="1" applyAlignment="1" applyProtection="1">
      <alignment horizontal="center"/>
      <protection locked="0"/>
    </xf>
    <xf numFmtId="0" fontId="0" fillId="7" borderId="3" xfId="0" applyNumberFormat="1" applyFont="1" applyFill="1" applyBorder="1" applyAlignment="1" applyProtection="1">
      <alignment horizontal="center"/>
      <protection locked="0"/>
    </xf>
    <xf numFmtId="0" fontId="0" fillId="7" borderId="3" xfId="0" applyNumberFormat="1" applyFill="1" applyBorder="1" applyAlignment="1" applyProtection="1">
      <alignment/>
      <protection locked="0"/>
    </xf>
    <xf numFmtId="0" fontId="0" fillId="7" borderId="3" xfId="0" applyFill="1" applyBorder="1" applyAlignment="1" applyProtection="1">
      <alignment/>
      <protection locked="0"/>
    </xf>
    <xf numFmtId="13" fontId="0" fillId="7" borderId="3" xfId="0" applyNumberFormat="1" applyFill="1" applyBorder="1" applyAlignment="1" applyProtection="1">
      <alignment horizontal="center"/>
      <protection locked="0"/>
    </xf>
    <xf numFmtId="13" fontId="0" fillId="17" borderId="43" xfId="0" applyNumberFormat="1" applyFill="1" applyBorder="1" applyAlignment="1" applyProtection="1">
      <alignment horizontal="center"/>
      <protection locked="0"/>
    </xf>
    <xf numFmtId="13" fontId="0" fillId="7" borderId="44" xfId="0" applyNumberFormat="1" applyFill="1" applyBorder="1" applyAlignment="1">
      <alignment horizontal="center"/>
    </xf>
    <xf numFmtId="13" fontId="0" fillId="0" borderId="44" xfId="0" applyNumberFormat="1" applyFill="1" applyBorder="1" applyAlignment="1">
      <alignment horizontal="center"/>
    </xf>
    <xf numFmtId="13" fontId="0" fillId="0" borderId="43" xfId="0" applyNumberFormat="1" applyFill="1" applyBorder="1" applyAlignment="1">
      <alignment horizontal="center"/>
    </xf>
    <xf numFmtId="13" fontId="0" fillId="0" borderId="43" xfId="0" applyNumberFormat="1" applyBorder="1" applyAlignment="1">
      <alignment horizontal="center"/>
    </xf>
    <xf numFmtId="13" fontId="0" fillId="11" borderId="43" xfId="0" applyNumberFormat="1" applyFill="1" applyBorder="1" applyAlignment="1">
      <alignment horizontal="center"/>
    </xf>
    <xf numFmtId="13" fontId="0" fillId="12" borderId="43" xfId="0" applyNumberFormat="1" applyFill="1" applyBorder="1" applyAlignment="1">
      <alignment horizontal="center"/>
    </xf>
    <xf numFmtId="12" fontId="10" fillId="7" borderId="31" xfId="0" applyNumberFormat="1" applyFont="1" applyFill="1" applyBorder="1" applyAlignment="1">
      <alignment horizontal="center"/>
    </xf>
    <xf numFmtId="0" fontId="10" fillId="7" borderId="31" xfId="0" applyNumberFormat="1" applyFont="1" applyFill="1" applyBorder="1" applyAlignment="1">
      <alignment horizontal="center"/>
    </xf>
    <xf numFmtId="0" fontId="10" fillId="7" borderId="34" xfId="0" applyNumberFormat="1" applyFont="1" applyFill="1" applyBorder="1" applyAlignment="1">
      <alignment horizontal="center"/>
    </xf>
    <xf numFmtId="0" fontId="37" fillId="0" borderId="32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8" fillId="0" borderId="43" xfId="0" applyFont="1" applyBorder="1" applyAlignment="1">
      <alignment wrapText="1"/>
    </xf>
    <xf numFmtId="13" fontId="39" fillId="0" borderId="44" xfId="0" applyNumberFormat="1" applyFont="1" applyBorder="1" applyAlignment="1">
      <alignment horizontal="center"/>
    </xf>
    <xf numFmtId="1" fontId="39" fillId="0" borderId="43" xfId="0" applyNumberFormat="1" applyFont="1" applyBorder="1" applyAlignment="1">
      <alignment horizontal="center"/>
    </xf>
    <xf numFmtId="172" fontId="39" fillId="0" borderId="43" xfId="0" applyNumberFormat="1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13" fontId="10" fillId="8" borderId="3" xfId="0" applyNumberFormat="1" applyFont="1" applyFill="1" applyBorder="1" applyAlignment="1" applyProtection="1">
      <alignment horizontal="center"/>
      <protection locked="0"/>
    </xf>
    <xf numFmtId="13" fontId="10" fillId="8" borderId="18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Border="1" applyAlignment="1">
      <alignment/>
    </xf>
    <xf numFmtId="13" fontId="1" fillId="8" borderId="33" xfId="0" applyNumberFormat="1" applyFont="1" applyFill="1" applyBorder="1" applyAlignment="1" applyProtection="1">
      <alignment/>
      <protection locked="0"/>
    </xf>
    <xf numFmtId="0" fontId="10" fillId="8" borderId="3" xfId="0" applyNumberFormat="1" applyFont="1" applyFill="1" applyBorder="1" applyAlignment="1" applyProtection="1">
      <alignment horizontal="center"/>
      <protection locked="0"/>
    </xf>
    <xf numFmtId="0" fontId="10" fillId="8" borderId="3" xfId="0" applyFont="1" applyFill="1" applyBorder="1" applyAlignment="1" applyProtection="1">
      <alignment horizontal="center"/>
      <protection locked="0"/>
    </xf>
    <xf numFmtId="0" fontId="10" fillId="8" borderId="18" xfId="0" applyNumberFormat="1" applyFont="1" applyFill="1" applyBorder="1" applyAlignment="1" applyProtection="1">
      <alignment horizontal="center"/>
      <protection locked="0"/>
    </xf>
    <xf numFmtId="0" fontId="10" fillId="8" borderId="18" xfId="0" applyFont="1" applyFill="1" applyBorder="1" applyAlignment="1" applyProtection="1">
      <alignment horizontal="center"/>
      <protection locked="0"/>
    </xf>
    <xf numFmtId="0" fontId="29" fillId="2" borderId="29" xfId="0" applyFont="1" applyFill="1" applyBorder="1" applyAlignment="1">
      <alignment/>
    </xf>
    <xf numFmtId="0" fontId="0" fillId="2" borderId="59" xfId="0" applyFill="1" applyBorder="1" applyAlignment="1">
      <alignment/>
    </xf>
    <xf numFmtId="0" fontId="0" fillId="8" borderId="23" xfId="0" applyFill="1" applyBorder="1" applyAlignment="1">
      <alignment/>
    </xf>
    <xf numFmtId="13" fontId="4" fillId="8" borderId="3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180" fontId="0" fillId="0" borderId="3" xfId="0" applyNumberFormat="1" applyBorder="1" applyAlignment="1" applyProtection="1">
      <alignment/>
      <protection locked="0"/>
    </xf>
    <xf numFmtId="175" fontId="0" fillId="0" borderId="3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37" fillId="0" borderId="2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2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1" fontId="1" fillId="0" borderId="7" xfId="0" applyNumberFormat="1" applyFont="1" applyFill="1" applyBorder="1" applyAlignment="1" applyProtection="1">
      <alignment horizontal="center"/>
      <protection/>
    </xf>
    <xf numFmtId="180" fontId="10" fillId="0" borderId="3" xfId="0" applyNumberFormat="1" applyFont="1" applyBorder="1" applyAlignment="1">
      <alignment horizontal="center"/>
    </xf>
    <xf numFmtId="175" fontId="10" fillId="0" borderId="29" xfId="0" applyNumberFormat="1" applyFont="1" applyBorder="1" applyAlignment="1">
      <alignment horizontal="center"/>
    </xf>
    <xf numFmtId="175" fontId="10" fillId="0" borderId="3" xfId="0" applyNumberFormat="1" applyFont="1" applyBorder="1" applyAlignment="1">
      <alignment horizontal="center"/>
    </xf>
    <xf numFmtId="180" fontId="10" fillId="0" borderId="18" xfId="0" applyNumberFormat="1" applyFont="1" applyBorder="1" applyAlignment="1">
      <alignment horizontal="center"/>
    </xf>
    <xf numFmtId="175" fontId="10" fillId="0" borderId="42" xfId="0" applyNumberFormat="1" applyFont="1" applyBorder="1" applyAlignment="1">
      <alignment horizontal="center"/>
    </xf>
    <xf numFmtId="175" fontId="10" fillId="0" borderId="18" xfId="0" applyNumberFormat="1" applyFont="1" applyBorder="1" applyAlignment="1">
      <alignment horizontal="center"/>
    </xf>
    <xf numFmtId="0" fontId="1" fillId="14" borderId="39" xfId="0" applyFont="1" applyFill="1" applyBorder="1" applyAlignment="1" applyProtection="1">
      <alignment horizontal="center" vertical="center" wrapText="1"/>
      <protection/>
    </xf>
    <xf numFmtId="0" fontId="1" fillId="14" borderId="37" xfId="0" applyFont="1" applyFill="1" applyBorder="1" applyAlignment="1" applyProtection="1">
      <alignment/>
      <protection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14" borderId="37" xfId="0" applyNumberFormat="1" applyFont="1" applyFill="1" applyBorder="1" applyAlignment="1" applyProtection="1">
      <alignment horizontal="center"/>
      <protection/>
    </xf>
    <xf numFmtId="2" fontId="1" fillId="18" borderId="37" xfId="0" applyNumberFormat="1" applyFont="1" applyFill="1" applyBorder="1" applyAlignment="1" applyProtection="1">
      <alignment horizontal="center"/>
      <protection/>
    </xf>
    <xf numFmtId="2" fontId="1" fillId="18" borderId="40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 horizontal="center"/>
    </xf>
    <xf numFmtId="2" fontId="1" fillId="8" borderId="24" xfId="0" applyNumberFormat="1" applyFon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7" fillId="0" borderId="36" xfId="0" applyFont="1" applyBorder="1" applyAlignment="1">
      <alignment/>
    </xf>
    <xf numFmtId="0" fontId="37" fillId="0" borderId="48" xfId="0" applyFont="1" applyBorder="1" applyAlignment="1">
      <alignment horizontal="center"/>
    </xf>
    <xf numFmtId="180" fontId="10" fillId="0" borderId="3" xfId="0" applyNumberFormat="1" applyFont="1" applyBorder="1" applyAlignment="1">
      <alignment/>
    </xf>
    <xf numFmtId="175" fontId="10" fillId="0" borderId="3" xfId="0" applyNumberFormat="1" applyFont="1" applyBorder="1" applyAlignment="1">
      <alignment/>
    </xf>
    <xf numFmtId="175" fontId="10" fillId="0" borderId="37" xfId="0" applyNumberFormat="1" applyFont="1" applyBorder="1" applyAlignment="1">
      <alignment/>
    </xf>
    <xf numFmtId="180" fontId="10" fillId="0" borderId="18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175" fontId="10" fillId="0" borderId="4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12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3" fontId="10" fillId="0" borderId="0" xfId="0" applyNumberFormat="1" applyFont="1" applyFill="1" applyBorder="1" applyAlignment="1" applyProtection="1">
      <alignment horizontal="center"/>
      <protection locked="0"/>
    </xf>
    <xf numFmtId="180" fontId="10" fillId="0" borderId="0" xfId="0" applyNumberFormat="1" applyFont="1" applyFill="1" applyBorder="1" applyAlignment="1">
      <alignment/>
    </xf>
    <xf numFmtId="175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8" borderId="37" xfId="0" applyFont="1" applyFill="1" applyBorder="1" applyAlignment="1" applyProtection="1">
      <alignment horizontal="center"/>
      <protection locked="0"/>
    </xf>
    <xf numFmtId="0" fontId="10" fillId="8" borderId="40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/>
    </xf>
    <xf numFmtId="0" fontId="37" fillId="0" borderId="4" xfId="0" applyFont="1" applyBorder="1" applyAlignment="1">
      <alignment/>
    </xf>
    <xf numFmtId="0" fontId="37" fillId="0" borderId="60" xfId="0" applyFont="1" applyBorder="1" applyAlignment="1">
      <alignment/>
    </xf>
    <xf numFmtId="0" fontId="0" fillId="0" borderId="61" xfId="0" applyBorder="1" applyAlignment="1">
      <alignment/>
    </xf>
    <xf numFmtId="0" fontId="37" fillId="0" borderId="28" xfId="0" applyFont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0" fillId="15" borderId="31" xfId="0" applyNumberFormat="1" applyFill="1" applyBorder="1" applyAlignment="1" applyProtection="1">
      <alignment horizontal="center"/>
      <protection locked="0"/>
    </xf>
    <xf numFmtId="0" fontId="1" fillId="15" borderId="38" xfId="0" applyFont="1" applyFill="1" applyBorder="1" applyAlignment="1" applyProtection="1">
      <alignment horizontal="center" vertical="center" wrapText="1"/>
      <protection/>
    </xf>
    <xf numFmtId="0" fontId="2" fillId="15" borderId="1" xfId="0" applyFont="1" applyFill="1" applyBorder="1" applyAlignment="1">
      <alignment horizontal="center"/>
    </xf>
    <xf numFmtId="0" fontId="0" fillId="0" borderId="3" xfId="0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43" fillId="0" borderId="0" xfId="0" applyFont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0" fontId="0" fillId="0" borderId="43" xfId="0" applyNumberFormat="1" applyFill="1" applyBorder="1" applyAlignment="1">
      <alignment horizontal="center"/>
    </xf>
    <xf numFmtId="172" fontId="0" fillId="0" borderId="43" xfId="0" applyNumberFormat="1" applyFill="1" applyBorder="1" applyAlignment="1">
      <alignment horizontal="center"/>
    </xf>
    <xf numFmtId="0" fontId="22" fillId="0" borderId="0" xfId="0" applyFont="1" applyBorder="1" applyAlignment="1" applyProtection="1">
      <alignment horizontal="right"/>
      <protection locked="0"/>
    </xf>
    <xf numFmtId="13" fontId="1" fillId="8" borderId="3" xfId="0" applyNumberFormat="1" applyFont="1" applyFill="1" applyBorder="1" applyAlignment="1" applyProtection="1">
      <alignment horizontal="center"/>
      <protection locked="0"/>
    </xf>
    <xf numFmtId="2" fontId="36" fillId="8" borderId="3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/>
    </xf>
    <xf numFmtId="12" fontId="0" fillId="7" borderId="3" xfId="0" applyNumberFormat="1" applyFill="1" applyBorder="1" applyAlignment="1">
      <alignment horizontal="center"/>
    </xf>
    <xf numFmtId="0" fontId="0" fillId="0" borderId="3" xfId="0" applyNumberFormat="1" applyBorder="1" applyAlignment="1">
      <alignment/>
    </xf>
    <xf numFmtId="0" fontId="0" fillId="7" borderId="3" xfId="0" applyNumberFormat="1" applyFill="1" applyBorder="1" applyAlignment="1">
      <alignment horizontal="center"/>
    </xf>
    <xf numFmtId="0" fontId="0" fillId="7" borderId="3" xfId="0" applyNumberFormat="1" applyFont="1" applyFill="1" applyBorder="1" applyAlignment="1">
      <alignment horizontal="center"/>
    </xf>
    <xf numFmtId="12" fontId="0" fillId="0" borderId="3" xfId="0" applyNumberFormat="1" applyBorder="1" applyAlignment="1">
      <alignment/>
    </xf>
    <xf numFmtId="0" fontId="44" fillId="0" borderId="0" xfId="0" applyFont="1" applyFill="1" applyBorder="1" applyAlignment="1" applyProtection="1" quotePrefix="1">
      <alignment horizontal="center"/>
      <protection locked="0"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2" fontId="0" fillId="0" borderId="0" xfId="0" applyNumberFormat="1" applyFill="1" applyBorder="1" applyAlignment="1">
      <alignment/>
    </xf>
    <xf numFmtId="0" fontId="44" fillId="0" borderId="0" xfId="0" applyFont="1" applyAlignment="1" quotePrefix="1">
      <alignment/>
    </xf>
    <xf numFmtId="0" fontId="10" fillId="7" borderId="34" xfId="0" applyNumberFormat="1" applyFont="1" applyFill="1" applyBorder="1" applyAlignment="1" applyProtection="1">
      <alignment horizontal="center"/>
      <protection locked="0"/>
    </xf>
    <xf numFmtId="12" fontId="10" fillId="7" borderId="31" xfId="0" applyNumberFormat="1" applyFont="1" applyFill="1" applyBorder="1" applyAlignment="1" applyProtection="1">
      <alignment horizontal="center"/>
      <protection locked="0"/>
    </xf>
    <xf numFmtId="0" fontId="10" fillId="7" borderId="31" xfId="0" applyNumberFormat="1" applyFont="1" applyFill="1" applyBorder="1" applyAlignment="1" applyProtection="1">
      <alignment horizontal="center"/>
      <protection locked="0"/>
    </xf>
    <xf numFmtId="0" fontId="0" fillId="19" borderId="43" xfId="0" applyFill="1" applyBorder="1" applyAlignment="1">
      <alignment horizontal="center"/>
    </xf>
    <xf numFmtId="13" fontId="0" fillId="20" borderId="43" xfId="0" applyNumberForma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3" fontId="1" fillId="0" borderId="24" xfId="0" applyNumberFormat="1" applyFont="1" applyFill="1" applyBorder="1" applyAlignment="1" applyProtection="1">
      <alignment horizontal="center"/>
      <protection locked="0"/>
    </xf>
    <xf numFmtId="13" fontId="1" fillId="0" borderId="26" xfId="0" applyNumberFormat="1" applyFont="1" applyFill="1" applyBorder="1" applyAlignment="1" applyProtection="1">
      <alignment horizontal="center"/>
      <protection locked="0"/>
    </xf>
    <xf numFmtId="2" fontId="1" fillId="0" borderId="60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2" fontId="0" fillId="0" borderId="60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3" fontId="1" fillId="0" borderId="35" xfId="0" applyNumberFormat="1" applyFont="1" applyFill="1" applyBorder="1" applyAlignment="1" applyProtection="1">
      <alignment horizontal="center"/>
      <protection locked="0"/>
    </xf>
    <xf numFmtId="13" fontId="1" fillId="0" borderId="36" xfId="0" applyNumberFormat="1" applyFont="1" applyFill="1" applyBorder="1" applyAlignment="1" applyProtection="1">
      <alignment horizontal="center"/>
      <protection locked="0"/>
    </xf>
    <xf numFmtId="0" fontId="23" fillId="0" borderId="34" xfId="0" applyFont="1" applyBorder="1" applyAlignment="1">
      <alignment horizontal="center" vertical="center" wrapText="1"/>
    </xf>
    <xf numFmtId="0" fontId="23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7"/>
          <c:w val="0.979"/>
          <c:h val="0.9385"/>
        </c:manualLayout>
      </c:layout>
      <c:lineChart>
        <c:grouping val="standard"/>
        <c:varyColors val="0"/>
        <c:ser>
          <c:idx val="0"/>
          <c:order val="0"/>
          <c:tx>
            <c:v>Begining Speed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Vars D1.x'!$B$19:$B$34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'All Vars D1.x'!$G$48:$G$63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Weld Spd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Vars D1.x'!$B$19:$B$34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'All Vars D1.x'!$H$48:$H$63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End Spd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'All Vars D1.x'!$B$19:$B$34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'All Vars D1.x'!$L$48:$L$63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Weld Volt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Vars D1.x'!$B$19:$B$34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'All Vars D1.x'!$M$48:$M$63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End Volt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Vars D1.x'!$B$19:$B$34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'All Vars D1.x'!$O$48:$O$63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0175331"/>
        <c:axId val="48924796"/>
      </c:line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24796"/>
        <c:crosses val="autoZero"/>
        <c:auto val="1"/>
        <c:lblOffset val="100"/>
        <c:noMultiLvlLbl val="0"/>
      </c:catAx>
      <c:valAx>
        <c:axId val="48924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7533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8975"/>
          <c:y val="0.95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</xdr:row>
      <xdr:rowOff>104775</xdr:rowOff>
    </xdr:from>
    <xdr:to>
      <xdr:col>5</xdr:col>
      <xdr:colOff>847725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4133850" y="647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104775</xdr:colOff>
      <xdr:row>6</xdr:row>
      <xdr:rowOff>85725</xdr:rowOff>
    </xdr:from>
    <xdr:to>
      <xdr:col>9</xdr:col>
      <xdr:colOff>247650</xdr:colOff>
      <xdr:row>8</xdr:row>
      <xdr:rowOff>85725</xdr:rowOff>
    </xdr:to>
    <xdr:pic>
      <xdr:nvPicPr>
        <xdr:cNvPr id="2" name="Fixed_Calcul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14425"/>
          <a:ext cx="1152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0</xdr:row>
      <xdr:rowOff>95250</xdr:rowOff>
    </xdr:from>
    <xdr:to>
      <xdr:col>10</xdr:col>
      <xdr:colOff>161925</xdr:colOff>
      <xdr:row>1</xdr:row>
      <xdr:rowOff>114300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95250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0</xdr:row>
      <xdr:rowOff>95250</xdr:rowOff>
    </xdr:from>
    <xdr:to>
      <xdr:col>9</xdr:col>
      <xdr:colOff>247650</xdr:colOff>
      <xdr:row>2</xdr:row>
      <xdr:rowOff>85725</xdr:rowOff>
    </xdr:to>
    <xdr:pic>
      <xdr:nvPicPr>
        <xdr:cNvPr id="4" name="Clear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95250"/>
          <a:ext cx="1171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5</xdr:row>
      <xdr:rowOff>85725</xdr:rowOff>
    </xdr:from>
    <xdr:to>
      <xdr:col>5</xdr:col>
      <xdr:colOff>857250</xdr:colOff>
      <xdr:row>5</xdr:row>
      <xdr:rowOff>85725</xdr:rowOff>
    </xdr:to>
    <xdr:sp>
      <xdr:nvSpPr>
        <xdr:cNvPr id="5" name="Line 10"/>
        <xdr:cNvSpPr>
          <a:spLocks/>
        </xdr:cNvSpPr>
      </xdr:nvSpPr>
      <xdr:spPr>
        <a:xfrm flipV="1">
          <a:off x="4143375" y="952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4</xdr:row>
      <xdr:rowOff>85725</xdr:rowOff>
    </xdr:from>
    <xdr:to>
      <xdr:col>5</xdr:col>
      <xdr:colOff>847725</xdr:colOff>
      <xdr:row>4</xdr:row>
      <xdr:rowOff>85725</xdr:rowOff>
    </xdr:to>
    <xdr:sp>
      <xdr:nvSpPr>
        <xdr:cNvPr id="6" name="Line 11"/>
        <xdr:cNvSpPr>
          <a:spLocks/>
        </xdr:cNvSpPr>
      </xdr:nvSpPr>
      <xdr:spPr>
        <a:xfrm flipV="1">
          <a:off x="4133850" y="7905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3</xdr:row>
      <xdr:rowOff>104775</xdr:rowOff>
    </xdr:from>
    <xdr:to>
      <xdr:col>5</xdr:col>
      <xdr:colOff>847725</xdr:colOff>
      <xdr:row>3</xdr:row>
      <xdr:rowOff>104775</xdr:rowOff>
    </xdr:to>
    <xdr:sp>
      <xdr:nvSpPr>
        <xdr:cNvPr id="7" name="Line 12"/>
        <xdr:cNvSpPr>
          <a:spLocks/>
        </xdr:cNvSpPr>
      </xdr:nvSpPr>
      <xdr:spPr>
        <a:xfrm flipV="1">
          <a:off x="4133850" y="647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85725</xdr:rowOff>
    </xdr:from>
    <xdr:to>
      <xdr:col>5</xdr:col>
      <xdr:colOff>857250</xdr:colOff>
      <xdr:row>5</xdr:row>
      <xdr:rowOff>85725</xdr:rowOff>
    </xdr:to>
    <xdr:sp>
      <xdr:nvSpPr>
        <xdr:cNvPr id="8" name="Line 13"/>
        <xdr:cNvSpPr>
          <a:spLocks/>
        </xdr:cNvSpPr>
      </xdr:nvSpPr>
      <xdr:spPr>
        <a:xfrm flipV="1">
          <a:off x="4143375" y="952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4</xdr:row>
      <xdr:rowOff>85725</xdr:rowOff>
    </xdr:from>
    <xdr:to>
      <xdr:col>5</xdr:col>
      <xdr:colOff>847725</xdr:colOff>
      <xdr:row>4</xdr:row>
      <xdr:rowOff>85725</xdr:rowOff>
    </xdr:to>
    <xdr:sp>
      <xdr:nvSpPr>
        <xdr:cNvPr id="9" name="Line 14"/>
        <xdr:cNvSpPr>
          <a:spLocks/>
        </xdr:cNvSpPr>
      </xdr:nvSpPr>
      <xdr:spPr>
        <a:xfrm flipV="1">
          <a:off x="4133850" y="7905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</xdr:row>
      <xdr:rowOff>76200</xdr:rowOff>
    </xdr:from>
    <xdr:to>
      <xdr:col>5</xdr:col>
      <xdr:colOff>838200</xdr:colOff>
      <xdr:row>2</xdr:row>
      <xdr:rowOff>76200</xdr:rowOff>
    </xdr:to>
    <xdr:sp>
      <xdr:nvSpPr>
        <xdr:cNvPr id="10" name="Line 15"/>
        <xdr:cNvSpPr>
          <a:spLocks/>
        </xdr:cNvSpPr>
      </xdr:nvSpPr>
      <xdr:spPr>
        <a:xfrm flipV="1">
          <a:off x="4143375" y="457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85725</xdr:rowOff>
    </xdr:from>
    <xdr:to>
      <xdr:col>5</xdr:col>
      <xdr:colOff>857250</xdr:colOff>
      <xdr:row>6</xdr:row>
      <xdr:rowOff>85725</xdr:rowOff>
    </xdr:to>
    <xdr:sp>
      <xdr:nvSpPr>
        <xdr:cNvPr id="11" name="Line 16"/>
        <xdr:cNvSpPr>
          <a:spLocks/>
        </xdr:cNvSpPr>
      </xdr:nvSpPr>
      <xdr:spPr>
        <a:xfrm flipV="1">
          <a:off x="4143375" y="1114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7</xdr:row>
      <xdr:rowOff>85725</xdr:rowOff>
    </xdr:from>
    <xdr:to>
      <xdr:col>5</xdr:col>
      <xdr:colOff>828675</xdr:colOff>
      <xdr:row>7</xdr:row>
      <xdr:rowOff>85725</xdr:rowOff>
    </xdr:to>
    <xdr:sp>
      <xdr:nvSpPr>
        <xdr:cNvPr id="12" name="Line 17"/>
        <xdr:cNvSpPr>
          <a:spLocks/>
        </xdr:cNvSpPr>
      </xdr:nvSpPr>
      <xdr:spPr>
        <a:xfrm flipV="1">
          <a:off x="4114800" y="1276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66675</xdr:rowOff>
    </xdr:from>
    <xdr:to>
      <xdr:col>5</xdr:col>
      <xdr:colOff>857250</xdr:colOff>
      <xdr:row>8</xdr:row>
      <xdr:rowOff>66675</xdr:rowOff>
    </xdr:to>
    <xdr:sp>
      <xdr:nvSpPr>
        <xdr:cNvPr id="13" name="Line 18"/>
        <xdr:cNvSpPr>
          <a:spLocks/>
        </xdr:cNvSpPr>
      </xdr:nvSpPr>
      <xdr:spPr>
        <a:xfrm flipV="1">
          <a:off x="4143375" y="14573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9</xdr:row>
      <xdr:rowOff>95250</xdr:rowOff>
    </xdr:from>
    <xdr:to>
      <xdr:col>5</xdr:col>
      <xdr:colOff>1066800</xdr:colOff>
      <xdr:row>9</xdr:row>
      <xdr:rowOff>95250</xdr:rowOff>
    </xdr:to>
    <xdr:sp>
      <xdr:nvSpPr>
        <xdr:cNvPr id="14" name="Line 20"/>
        <xdr:cNvSpPr>
          <a:spLocks/>
        </xdr:cNvSpPr>
      </xdr:nvSpPr>
      <xdr:spPr>
        <a:xfrm>
          <a:off x="4371975" y="17240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13</xdr:row>
      <xdr:rowOff>95250</xdr:rowOff>
    </xdr:from>
    <xdr:to>
      <xdr:col>10</xdr:col>
      <xdr:colOff>123825</xdr:colOff>
      <xdr:row>16</xdr:row>
      <xdr:rowOff>38100</xdr:rowOff>
    </xdr:to>
    <xdr:sp>
      <xdr:nvSpPr>
        <xdr:cNvPr id="15" name="Line 23"/>
        <xdr:cNvSpPr>
          <a:spLocks/>
        </xdr:cNvSpPr>
      </xdr:nvSpPr>
      <xdr:spPr>
        <a:xfrm flipV="1">
          <a:off x="6429375" y="2400300"/>
          <a:ext cx="1104900" cy="476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3</xdr:row>
      <xdr:rowOff>28575</xdr:rowOff>
    </xdr:from>
    <xdr:to>
      <xdr:col>10</xdr:col>
      <xdr:colOff>142875</xdr:colOff>
      <xdr:row>6</xdr:row>
      <xdr:rowOff>19050</xdr:rowOff>
    </xdr:to>
    <xdr:pic>
      <xdr:nvPicPr>
        <xdr:cNvPr id="16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6900" y="571500"/>
          <a:ext cx="18764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600075</xdr:colOff>
      <xdr:row>25</xdr:row>
      <xdr:rowOff>133350</xdr:rowOff>
    </xdr:from>
    <xdr:to>
      <xdr:col>22</xdr:col>
      <xdr:colOff>200025</xdr:colOff>
      <xdr:row>70</xdr:row>
      <xdr:rowOff>38100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76950" y="4486275"/>
          <a:ext cx="7353300" cy="628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92106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9210675" y="0"/>
          <a:ext cx="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1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1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142875</xdr:colOff>
      <xdr:row>12</xdr:row>
      <xdr:rowOff>28575</xdr:rowOff>
    </xdr:from>
    <xdr:ext cx="123825" cy="200025"/>
    <xdr:sp>
      <xdr:nvSpPr>
        <xdr:cNvPr id="5" name="TextBox 16"/>
        <xdr:cNvSpPr txBox="1">
          <a:spLocks noChangeArrowheads="1"/>
        </xdr:cNvSpPr>
      </xdr:nvSpPr>
      <xdr:spPr>
        <a:xfrm>
          <a:off x="838200" y="26955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"</a:t>
          </a:r>
        </a:p>
      </xdr:txBody>
    </xdr:sp>
    <xdr:clientData/>
  </xdr:oneCellAnchor>
  <xdr:twoCellAnchor>
    <xdr:from>
      <xdr:col>42</xdr:col>
      <xdr:colOff>57150</xdr:colOff>
      <xdr:row>20</xdr:row>
      <xdr:rowOff>9525</xdr:rowOff>
    </xdr:from>
    <xdr:to>
      <xdr:col>43</xdr:col>
      <xdr:colOff>314325</xdr:colOff>
      <xdr:row>20</xdr:row>
      <xdr:rowOff>9525</xdr:rowOff>
    </xdr:to>
    <xdr:sp>
      <xdr:nvSpPr>
        <xdr:cNvPr id="6" name="Line 42"/>
        <xdr:cNvSpPr>
          <a:spLocks/>
        </xdr:cNvSpPr>
      </xdr:nvSpPr>
      <xdr:spPr>
        <a:xfrm>
          <a:off x="20431125" y="40576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</xdr:colOff>
      <xdr:row>19</xdr:row>
      <xdr:rowOff>161925</xdr:rowOff>
    </xdr:from>
    <xdr:to>
      <xdr:col>44</xdr:col>
      <xdr:colOff>552450</xdr:colOff>
      <xdr:row>19</xdr:row>
      <xdr:rowOff>161925</xdr:rowOff>
    </xdr:to>
    <xdr:sp>
      <xdr:nvSpPr>
        <xdr:cNvPr id="7" name="Line 43"/>
        <xdr:cNvSpPr>
          <a:spLocks/>
        </xdr:cNvSpPr>
      </xdr:nvSpPr>
      <xdr:spPr>
        <a:xfrm>
          <a:off x="21412200" y="4038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18</xdr:row>
      <xdr:rowOff>47625</xdr:rowOff>
    </xdr:from>
    <xdr:to>
      <xdr:col>44</xdr:col>
      <xdr:colOff>104775</xdr:colOff>
      <xdr:row>20</xdr:row>
      <xdr:rowOff>133350</xdr:rowOff>
    </xdr:to>
    <xdr:sp>
      <xdr:nvSpPr>
        <xdr:cNvPr id="8" name="AutoShape 44"/>
        <xdr:cNvSpPr>
          <a:spLocks/>
        </xdr:cNvSpPr>
      </xdr:nvSpPr>
      <xdr:spPr>
        <a:xfrm>
          <a:off x="21440775" y="3762375"/>
          <a:ext cx="66675" cy="4191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542925</xdr:colOff>
      <xdr:row>18</xdr:row>
      <xdr:rowOff>76200</xdr:rowOff>
    </xdr:from>
    <xdr:to>
      <xdr:col>44</xdr:col>
      <xdr:colOff>609600</xdr:colOff>
      <xdr:row>20</xdr:row>
      <xdr:rowOff>133350</xdr:rowOff>
    </xdr:to>
    <xdr:sp>
      <xdr:nvSpPr>
        <xdr:cNvPr id="9" name="AutoShape 45"/>
        <xdr:cNvSpPr>
          <a:spLocks/>
        </xdr:cNvSpPr>
      </xdr:nvSpPr>
      <xdr:spPr>
        <a:xfrm>
          <a:off x="21945600" y="3790950"/>
          <a:ext cx="666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609600</xdr:colOff>
      <xdr:row>20</xdr:row>
      <xdr:rowOff>0</xdr:rowOff>
    </xdr:from>
    <xdr:to>
      <xdr:col>49</xdr:col>
      <xdr:colOff>523875</xdr:colOff>
      <xdr:row>20</xdr:row>
      <xdr:rowOff>0</xdr:rowOff>
    </xdr:to>
    <xdr:sp>
      <xdr:nvSpPr>
        <xdr:cNvPr id="10" name="Line 46"/>
        <xdr:cNvSpPr>
          <a:spLocks/>
        </xdr:cNvSpPr>
      </xdr:nvSpPr>
      <xdr:spPr>
        <a:xfrm flipV="1">
          <a:off x="23679150" y="40481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19</xdr:row>
      <xdr:rowOff>161925</xdr:rowOff>
    </xdr:from>
    <xdr:to>
      <xdr:col>50</xdr:col>
      <xdr:colOff>571500</xdr:colOff>
      <xdr:row>19</xdr:row>
      <xdr:rowOff>161925</xdr:rowOff>
    </xdr:to>
    <xdr:sp>
      <xdr:nvSpPr>
        <xdr:cNvPr id="11" name="Line 47"/>
        <xdr:cNvSpPr>
          <a:spLocks/>
        </xdr:cNvSpPr>
      </xdr:nvSpPr>
      <xdr:spPr>
        <a:xfrm>
          <a:off x="25336500" y="4038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19</xdr:row>
      <xdr:rowOff>0</xdr:rowOff>
    </xdr:from>
    <xdr:to>
      <xdr:col>50</xdr:col>
      <xdr:colOff>66675</xdr:colOff>
      <xdr:row>20</xdr:row>
      <xdr:rowOff>114300</xdr:rowOff>
    </xdr:to>
    <xdr:sp>
      <xdr:nvSpPr>
        <xdr:cNvPr id="12" name="AutoShape 48"/>
        <xdr:cNvSpPr>
          <a:spLocks/>
        </xdr:cNvSpPr>
      </xdr:nvSpPr>
      <xdr:spPr>
        <a:xfrm>
          <a:off x="25336500" y="3876675"/>
          <a:ext cx="57150" cy="285750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523875</xdr:colOff>
      <xdr:row>18</xdr:row>
      <xdr:rowOff>152400</xdr:rowOff>
    </xdr:from>
    <xdr:to>
      <xdr:col>50</xdr:col>
      <xdr:colOff>581025</xdr:colOff>
      <xdr:row>20</xdr:row>
      <xdr:rowOff>123825</xdr:rowOff>
    </xdr:to>
    <xdr:sp>
      <xdr:nvSpPr>
        <xdr:cNvPr id="13" name="AutoShape 49"/>
        <xdr:cNvSpPr>
          <a:spLocks/>
        </xdr:cNvSpPr>
      </xdr:nvSpPr>
      <xdr:spPr>
        <a:xfrm>
          <a:off x="25850850" y="3867150"/>
          <a:ext cx="57150" cy="30480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25</xdr:row>
      <xdr:rowOff>0</xdr:rowOff>
    </xdr:from>
    <xdr:to>
      <xdr:col>47</xdr:col>
      <xdr:colOff>962025</xdr:colOff>
      <xdr:row>25</xdr:row>
      <xdr:rowOff>0</xdr:rowOff>
    </xdr:to>
    <xdr:sp>
      <xdr:nvSpPr>
        <xdr:cNvPr id="14" name="Line 50"/>
        <xdr:cNvSpPr>
          <a:spLocks/>
        </xdr:cNvSpPr>
      </xdr:nvSpPr>
      <xdr:spPr>
        <a:xfrm>
          <a:off x="20383500" y="488632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24</xdr:row>
      <xdr:rowOff>161925</xdr:rowOff>
    </xdr:from>
    <xdr:to>
      <xdr:col>48</xdr:col>
      <xdr:colOff>561975</xdr:colOff>
      <xdr:row>24</xdr:row>
      <xdr:rowOff>161925</xdr:rowOff>
    </xdr:to>
    <xdr:sp>
      <xdr:nvSpPr>
        <xdr:cNvPr id="15" name="Line 51"/>
        <xdr:cNvSpPr>
          <a:spLocks/>
        </xdr:cNvSpPr>
      </xdr:nvSpPr>
      <xdr:spPr>
        <a:xfrm>
          <a:off x="24117300" y="48863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24</xdr:row>
      <xdr:rowOff>0</xdr:rowOff>
    </xdr:from>
    <xdr:to>
      <xdr:col>48</xdr:col>
      <xdr:colOff>57150</xdr:colOff>
      <xdr:row>25</xdr:row>
      <xdr:rowOff>114300</xdr:rowOff>
    </xdr:to>
    <xdr:sp>
      <xdr:nvSpPr>
        <xdr:cNvPr id="16" name="AutoShape 52"/>
        <xdr:cNvSpPr>
          <a:spLocks/>
        </xdr:cNvSpPr>
      </xdr:nvSpPr>
      <xdr:spPr>
        <a:xfrm>
          <a:off x="24117300" y="4724400"/>
          <a:ext cx="47625" cy="2762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571500</xdr:colOff>
      <xdr:row>23</xdr:row>
      <xdr:rowOff>152400</xdr:rowOff>
    </xdr:from>
    <xdr:to>
      <xdr:col>48</xdr:col>
      <xdr:colOff>628650</xdr:colOff>
      <xdr:row>25</xdr:row>
      <xdr:rowOff>123825</xdr:rowOff>
    </xdr:to>
    <xdr:sp>
      <xdr:nvSpPr>
        <xdr:cNvPr id="17" name="AutoShape 53"/>
        <xdr:cNvSpPr>
          <a:spLocks/>
        </xdr:cNvSpPr>
      </xdr:nvSpPr>
      <xdr:spPr>
        <a:xfrm>
          <a:off x="24679275" y="4714875"/>
          <a:ext cx="57150" cy="29527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</xdr:row>
      <xdr:rowOff>171450</xdr:rowOff>
    </xdr:from>
    <xdr:to>
      <xdr:col>6</xdr:col>
      <xdr:colOff>190500</xdr:colOff>
      <xdr:row>7</xdr:row>
      <xdr:rowOff>76200</xdr:rowOff>
    </xdr:to>
    <xdr:sp>
      <xdr:nvSpPr>
        <xdr:cNvPr id="18" name="Line 97"/>
        <xdr:cNvSpPr>
          <a:spLocks/>
        </xdr:cNvSpPr>
      </xdr:nvSpPr>
      <xdr:spPr>
        <a:xfrm flipH="1">
          <a:off x="2667000" y="847725"/>
          <a:ext cx="285750" cy="685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142875</xdr:colOff>
      <xdr:row>15</xdr:row>
      <xdr:rowOff>28575</xdr:rowOff>
    </xdr:from>
    <xdr:ext cx="123825" cy="200025"/>
    <xdr:sp>
      <xdr:nvSpPr>
        <xdr:cNvPr id="19" name="TextBox 98"/>
        <xdr:cNvSpPr txBox="1">
          <a:spLocks noChangeArrowheads="1"/>
        </xdr:cNvSpPr>
      </xdr:nvSpPr>
      <xdr:spPr>
        <a:xfrm>
          <a:off x="838200" y="320040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"</a:t>
          </a:r>
        </a:p>
      </xdr:txBody>
    </xdr:sp>
    <xdr:clientData/>
  </xdr:oneCellAnchor>
  <xdr:twoCellAnchor>
    <xdr:from>
      <xdr:col>21</xdr:col>
      <xdr:colOff>457200</xdr:colOff>
      <xdr:row>3</xdr:row>
      <xdr:rowOff>200025</xdr:rowOff>
    </xdr:from>
    <xdr:to>
      <xdr:col>24</xdr:col>
      <xdr:colOff>714375</xdr:colOff>
      <xdr:row>5</xdr:row>
      <xdr:rowOff>76200</xdr:rowOff>
    </xdr:to>
    <xdr:sp>
      <xdr:nvSpPr>
        <xdr:cNvPr id="20" name="TextBox 101"/>
        <xdr:cNvSpPr txBox="1">
          <a:spLocks noChangeArrowheads="1"/>
        </xdr:cNvSpPr>
      </xdr:nvSpPr>
      <xdr:spPr>
        <a:xfrm>
          <a:off x="10782300" y="876300"/>
          <a:ext cx="2266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V.R.R Welding Speed Recomendations</a:t>
          </a:r>
        </a:p>
      </xdr:txBody>
    </xdr:sp>
    <xdr:clientData/>
  </xdr:twoCellAnchor>
  <xdr:twoCellAnchor>
    <xdr:from>
      <xdr:col>22</xdr:col>
      <xdr:colOff>38100</xdr:colOff>
      <xdr:row>7</xdr:row>
      <xdr:rowOff>9525</xdr:rowOff>
    </xdr:from>
    <xdr:to>
      <xdr:col>23</xdr:col>
      <xdr:colOff>28575</xdr:colOff>
      <xdr:row>8</xdr:row>
      <xdr:rowOff>114300</xdr:rowOff>
    </xdr:to>
    <xdr:sp>
      <xdr:nvSpPr>
        <xdr:cNvPr id="21" name="TextBox 102"/>
        <xdr:cNvSpPr txBox="1">
          <a:spLocks noChangeArrowheads="1"/>
        </xdr:cNvSpPr>
      </xdr:nvSpPr>
      <xdr:spPr>
        <a:xfrm>
          <a:off x="10906125" y="1466850"/>
          <a:ext cx="676275" cy="3048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 1.1</a:t>
          </a:r>
        </a:p>
      </xdr:txBody>
    </xdr:sp>
    <xdr:clientData/>
  </xdr:twoCellAnchor>
  <xdr:twoCellAnchor>
    <xdr:from>
      <xdr:col>23</xdr:col>
      <xdr:colOff>142875</xdr:colOff>
      <xdr:row>7</xdr:row>
      <xdr:rowOff>38100</xdr:rowOff>
    </xdr:from>
    <xdr:to>
      <xdr:col>24</xdr:col>
      <xdr:colOff>666750</xdr:colOff>
      <xdr:row>8</xdr:row>
      <xdr:rowOff>123825</xdr:rowOff>
    </xdr:to>
    <xdr:sp>
      <xdr:nvSpPr>
        <xdr:cNvPr id="22" name="TextBox 103"/>
        <xdr:cNvSpPr txBox="1">
          <a:spLocks noChangeArrowheads="1"/>
        </xdr:cNvSpPr>
      </xdr:nvSpPr>
      <xdr:spPr>
        <a:xfrm>
          <a:off x="11696700" y="1495425"/>
          <a:ext cx="1304925" cy="285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 1.5</a:t>
          </a:r>
        </a:p>
      </xdr:txBody>
    </xdr:sp>
    <xdr:clientData/>
  </xdr:twoCellAnchor>
  <xdr:twoCellAnchor>
    <xdr:from>
      <xdr:col>27</xdr:col>
      <xdr:colOff>9525</xdr:colOff>
      <xdr:row>7</xdr:row>
      <xdr:rowOff>57150</xdr:rowOff>
    </xdr:from>
    <xdr:to>
      <xdr:col>31</xdr:col>
      <xdr:colOff>47625</xdr:colOff>
      <xdr:row>8</xdr:row>
      <xdr:rowOff>142875</xdr:rowOff>
    </xdr:to>
    <xdr:sp>
      <xdr:nvSpPr>
        <xdr:cNvPr id="23" name="TextBox 104"/>
        <xdr:cNvSpPr txBox="1">
          <a:spLocks noChangeArrowheads="1"/>
        </xdr:cNvSpPr>
      </xdr:nvSpPr>
      <xdr:spPr>
        <a:xfrm>
          <a:off x="13125450" y="1514475"/>
          <a:ext cx="2095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 1.5 Formulas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0.56625</cdr:x>
      <cdr:y>0.70675</cdr:y>
    </cdr:from>
    <cdr:to>
      <cdr:x>0.64525</cdr:x>
      <cdr:y>0.76725</cdr:y>
    </cdr:to>
    <cdr:sp>
      <cdr:nvSpPr>
        <cdr:cNvPr id="1" name="TextBox 13"/>
        <cdr:cNvSpPr txBox="1">
          <a:spLocks noChangeArrowheads="1"/>
        </cdr:cNvSpPr>
      </cdr:nvSpPr>
      <cdr:spPr>
        <a:xfrm>
          <a:off x="6076950" y="3771900"/>
          <a:ext cx="847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Voltage</a:t>
          </a:r>
        </a:p>
      </cdr:txBody>
    </cdr:sp>
  </cdr:relSizeAnchor>
  <cdr:relSizeAnchor xmlns:cdr="http://schemas.openxmlformats.org/drawingml/2006/chartDrawing">
    <cdr:from>
      <cdr:x>0.8</cdr:x>
      <cdr:y>0.4255</cdr:y>
    </cdr:from>
    <cdr:to>
      <cdr:x>0.91</cdr:x>
      <cdr:y>0.46825</cdr:y>
    </cdr:to>
    <cdr:sp>
      <cdr:nvSpPr>
        <cdr:cNvPr id="2" name="TextBox 14"/>
        <cdr:cNvSpPr txBox="1">
          <a:spLocks noChangeArrowheads="1"/>
        </cdr:cNvSpPr>
      </cdr:nvSpPr>
      <cdr:spPr>
        <a:xfrm>
          <a:off x="8582025" y="2266950"/>
          <a:ext cx="1181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Max Wire Speed</a:t>
          </a:r>
        </a:p>
      </cdr:txBody>
    </cdr:sp>
  </cdr:relSizeAnchor>
  <cdr:relSizeAnchor xmlns:cdr="http://schemas.openxmlformats.org/drawingml/2006/chartDrawing">
    <cdr:from>
      <cdr:x>0.32325</cdr:x>
      <cdr:y>0.2495</cdr:y>
    </cdr:from>
    <cdr:to>
      <cdr:x>0.40575</cdr:x>
      <cdr:y>0.344</cdr:y>
    </cdr:to>
    <cdr:sp>
      <cdr:nvSpPr>
        <cdr:cNvPr id="3" name="TextBox 15"/>
        <cdr:cNvSpPr txBox="1">
          <a:spLocks noChangeArrowheads="1"/>
        </cdr:cNvSpPr>
      </cdr:nvSpPr>
      <cdr:spPr>
        <a:xfrm>
          <a:off x="3467100" y="1323975"/>
          <a:ext cx="8858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Welding Speed
@ 1 1/2 IPM
Rate of Rise</a:t>
          </a:r>
        </a:p>
      </cdr:txBody>
    </cdr:sp>
  </cdr:relSizeAnchor>
  <cdr:relSizeAnchor xmlns:cdr="http://schemas.openxmlformats.org/drawingml/2006/chartDrawing">
    <cdr:from>
      <cdr:x>0.26975</cdr:x>
      <cdr:y>0.29075</cdr:y>
    </cdr:from>
    <cdr:to>
      <cdr:x>0.32325</cdr:x>
      <cdr:y>0.3165</cdr:y>
    </cdr:to>
    <cdr:sp>
      <cdr:nvSpPr>
        <cdr:cNvPr id="4" name="Line 16"/>
        <cdr:cNvSpPr>
          <a:spLocks/>
        </cdr:cNvSpPr>
      </cdr:nvSpPr>
      <cdr:spPr>
        <a:xfrm flipH="1">
          <a:off x="2895600" y="1552575"/>
          <a:ext cx="571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</cdr:x>
      <cdr:y>0.41775</cdr:y>
    </cdr:from>
    <cdr:to>
      <cdr:x>0.54525</cdr:x>
      <cdr:y>0.45525</cdr:y>
    </cdr:to>
    <cdr:sp>
      <cdr:nvSpPr>
        <cdr:cNvPr id="5" name="TextBox 17"/>
        <cdr:cNvSpPr txBox="1">
          <a:spLocks noChangeArrowheads="1"/>
        </cdr:cNvSpPr>
      </cdr:nvSpPr>
      <cdr:spPr>
        <a:xfrm>
          <a:off x="5114925" y="222885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End Speed</a:t>
          </a:r>
        </a:p>
      </cdr:txBody>
    </cdr:sp>
  </cdr:relSizeAnchor>
  <cdr:relSizeAnchor xmlns:cdr="http://schemas.openxmlformats.org/drawingml/2006/chartDrawing">
    <cdr:from>
      <cdr:x>0.40525</cdr:x>
      <cdr:y>0.44425</cdr:y>
    </cdr:from>
    <cdr:to>
      <cdr:x>0.477</cdr:x>
      <cdr:y>0.5385</cdr:y>
    </cdr:to>
    <cdr:sp>
      <cdr:nvSpPr>
        <cdr:cNvPr id="6" name="Line 18"/>
        <cdr:cNvSpPr>
          <a:spLocks/>
        </cdr:cNvSpPr>
      </cdr:nvSpPr>
      <cdr:spPr>
        <a:xfrm flipH="1">
          <a:off x="4343400" y="2371725"/>
          <a:ext cx="771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0.425</cdr:x>
      <cdr:y>0.597</cdr:y>
    </cdr:from>
    <cdr:to>
      <cdr:x>0.50225</cdr:x>
      <cdr:y>0.7005</cdr:y>
    </cdr:to>
    <cdr:sp>
      <cdr:nvSpPr>
        <cdr:cNvPr id="7" name="TextBox 19"/>
        <cdr:cNvSpPr txBox="1">
          <a:spLocks noChangeArrowheads="1"/>
        </cdr:cNvSpPr>
      </cdr:nvSpPr>
      <cdr:spPr>
        <a:xfrm>
          <a:off x="4552950" y="3181350"/>
          <a:ext cx="8286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Start Speed
@ 1 IPM
Rate of Rise</a:t>
          </a:r>
        </a:p>
      </cdr:txBody>
    </cdr:sp>
  </cdr:relSizeAnchor>
  <cdr:relSizeAnchor xmlns:cdr="http://schemas.openxmlformats.org/drawingml/2006/chartDrawing">
    <cdr:from>
      <cdr:x>0.395</cdr:x>
      <cdr:y>0.583</cdr:y>
    </cdr:from>
    <cdr:to>
      <cdr:x>0.425</cdr:x>
      <cdr:y>0.656</cdr:y>
    </cdr:to>
    <cdr:sp>
      <cdr:nvSpPr>
        <cdr:cNvPr id="8" name="Line 20"/>
        <cdr:cNvSpPr>
          <a:spLocks/>
        </cdr:cNvSpPr>
      </cdr:nvSpPr>
      <cdr:spPr>
        <a:xfrm flipH="1" flipV="1">
          <a:off x="4238625" y="3114675"/>
          <a:ext cx="3238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0.32325</cdr:x>
      <cdr:y>0</cdr:y>
    </cdr:from>
    <cdr:to>
      <cdr:x>0.5185</cdr:x>
      <cdr:y>0.0605</cdr:y>
    </cdr:to>
    <cdr:sp>
      <cdr:nvSpPr>
        <cdr:cNvPr id="9" name="TextBox 21"/>
        <cdr:cNvSpPr txBox="1">
          <a:spLocks noChangeArrowheads="1"/>
        </cdr:cNvSpPr>
      </cdr:nvSpPr>
      <cdr:spPr>
        <a:xfrm>
          <a:off x="3467100" y="0"/>
          <a:ext cx="2095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Welding Parameters</a:t>
          </a:r>
        </a:p>
      </cdr:txBody>
    </cdr:sp>
  </cdr:relSizeAnchor>
  <cdr:relSizeAnchor xmlns:cdr="http://schemas.openxmlformats.org/drawingml/2006/chartDrawing">
    <cdr:from>
      <cdr:x>0.0485</cdr:x>
      <cdr:y>0.47225</cdr:y>
    </cdr:from>
    <cdr:to>
      <cdr:x>0.975</cdr:x>
      <cdr:y>0.473</cdr:y>
    </cdr:to>
    <cdr:sp>
      <cdr:nvSpPr>
        <cdr:cNvPr id="10" name="Line 22"/>
        <cdr:cNvSpPr>
          <a:spLocks/>
        </cdr:cNvSpPr>
      </cdr:nvSpPr>
      <cdr:spPr>
        <a:xfrm>
          <a:off x="514350" y="2514600"/>
          <a:ext cx="9944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64</xdr:row>
      <xdr:rowOff>0</xdr:rowOff>
    </xdr:from>
    <xdr:to>
      <xdr:col>28</xdr:col>
      <xdr:colOff>9525</xdr:colOff>
      <xdr:row>97</xdr:row>
      <xdr:rowOff>0</xdr:rowOff>
    </xdr:to>
    <xdr:graphicFrame>
      <xdr:nvGraphicFramePr>
        <xdr:cNvPr id="1" name="Chart 2"/>
        <xdr:cNvGraphicFramePr/>
      </xdr:nvGraphicFramePr>
      <xdr:xfrm>
        <a:off x="552450" y="10772775"/>
        <a:ext cx="107346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295275</xdr:colOff>
      <xdr:row>91</xdr:row>
      <xdr:rowOff>95250</xdr:rowOff>
    </xdr:from>
    <xdr:ext cx="1371600" cy="266700"/>
    <xdr:sp>
      <xdr:nvSpPr>
        <xdr:cNvPr id="2" name="TextBox 4"/>
        <xdr:cNvSpPr txBox="1">
          <a:spLocks noChangeArrowheads="1"/>
        </xdr:cNvSpPr>
      </xdr:nvSpPr>
      <xdr:spPr>
        <a:xfrm>
          <a:off x="4933950" y="15240000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Plate Thickness</a:t>
          </a:r>
        </a:p>
      </xdr:txBody>
    </xdr:sp>
    <xdr:clientData/>
  </xdr:oneCellAnchor>
  <xdr:twoCellAnchor>
    <xdr:from>
      <xdr:col>7</xdr:col>
      <xdr:colOff>342900</xdr:colOff>
      <xdr:row>64</xdr:row>
      <xdr:rowOff>142875</xdr:rowOff>
    </xdr:from>
    <xdr:to>
      <xdr:col>7</xdr:col>
      <xdr:colOff>342900</xdr:colOff>
      <xdr:row>88</xdr:row>
      <xdr:rowOff>104775</xdr:rowOff>
    </xdr:to>
    <xdr:sp>
      <xdr:nvSpPr>
        <xdr:cNvPr id="3" name="Line 5"/>
        <xdr:cNvSpPr>
          <a:spLocks/>
        </xdr:cNvSpPr>
      </xdr:nvSpPr>
      <xdr:spPr>
        <a:xfrm>
          <a:off x="2990850" y="1091565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64</xdr:row>
      <xdr:rowOff>85725</xdr:rowOff>
    </xdr:from>
    <xdr:to>
      <xdr:col>21</xdr:col>
      <xdr:colOff>123825</xdr:colOff>
      <xdr:row>93</xdr:row>
      <xdr:rowOff>85725</xdr:rowOff>
    </xdr:to>
    <xdr:sp>
      <xdr:nvSpPr>
        <xdr:cNvPr id="4" name="Line 6"/>
        <xdr:cNvSpPr>
          <a:spLocks/>
        </xdr:cNvSpPr>
      </xdr:nvSpPr>
      <xdr:spPr>
        <a:xfrm>
          <a:off x="8401050" y="10858500"/>
          <a:ext cx="0" cy="469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67</xdr:row>
      <xdr:rowOff>133350</xdr:rowOff>
    </xdr:from>
    <xdr:to>
      <xdr:col>7</xdr:col>
      <xdr:colOff>400050</xdr:colOff>
      <xdr:row>67</xdr:row>
      <xdr:rowOff>133350</xdr:rowOff>
    </xdr:to>
    <xdr:sp>
      <xdr:nvSpPr>
        <xdr:cNvPr id="5" name="Line 7"/>
        <xdr:cNvSpPr>
          <a:spLocks/>
        </xdr:cNvSpPr>
      </xdr:nvSpPr>
      <xdr:spPr>
        <a:xfrm>
          <a:off x="1676400" y="113919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67</xdr:row>
      <xdr:rowOff>123825</xdr:rowOff>
    </xdr:from>
    <xdr:to>
      <xdr:col>21</xdr:col>
      <xdr:colOff>114300</xdr:colOff>
      <xdr:row>67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3048000" y="11382375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67</xdr:row>
      <xdr:rowOff>133350</xdr:rowOff>
    </xdr:from>
    <xdr:to>
      <xdr:col>24</xdr:col>
      <xdr:colOff>409575</xdr:colOff>
      <xdr:row>67</xdr:row>
      <xdr:rowOff>133350</xdr:rowOff>
    </xdr:to>
    <xdr:sp>
      <xdr:nvSpPr>
        <xdr:cNvPr id="7" name="Line 9"/>
        <xdr:cNvSpPr>
          <a:spLocks/>
        </xdr:cNvSpPr>
      </xdr:nvSpPr>
      <xdr:spPr>
        <a:xfrm>
          <a:off x="8382000" y="113919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65</xdr:row>
      <xdr:rowOff>114300</xdr:rowOff>
    </xdr:from>
    <xdr:to>
      <xdr:col>25</xdr:col>
      <xdr:colOff>0</xdr:colOff>
      <xdr:row>65</xdr:row>
      <xdr:rowOff>123825</xdr:rowOff>
    </xdr:to>
    <xdr:sp>
      <xdr:nvSpPr>
        <xdr:cNvPr id="8" name="Line 11"/>
        <xdr:cNvSpPr>
          <a:spLocks/>
        </xdr:cNvSpPr>
      </xdr:nvSpPr>
      <xdr:spPr>
        <a:xfrm flipV="1">
          <a:off x="9925050" y="11049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142875</xdr:colOff>
      <xdr:row>66</xdr:row>
      <xdr:rowOff>123825</xdr:rowOff>
    </xdr:from>
    <xdr:ext cx="819150" cy="228600"/>
    <xdr:sp>
      <xdr:nvSpPr>
        <xdr:cNvPr id="9" name="TextBox 15"/>
        <xdr:cNvSpPr txBox="1">
          <a:spLocks noChangeArrowheads="1"/>
        </xdr:cNvSpPr>
      </xdr:nvSpPr>
      <xdr:spPr>
        <a:xfrm>
          <a:off x="2085975" y="11220450"/>
          <a:ext cx="81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One Wire</a:t>
          </a:r>
        </a:p>
      </xdr:txBody>
    </xdr:sp>
    <xdr:clientData/>
  </xdr:oneCellAnchor>
  <xdr:oneCellAnchor>
    <xdr:from>
      <xdr:col>14</xdr:col>
      <xdr:colOff>266700</xdr:colOff>
      <xdr:row>66</xdr:row>
      <xdr:rowOff>123825</xdr:rowOff>
    </xdr:from>
    <xdr:ext cx="714375" cy="200025"/>
    <xdr:sp>
      <xdr:nvSpPr>
        <xdr:cNvPr id="10" name="TextBox 16"/>
        <xdr:cNvSpPr txBox="1">
          <a:spLocks noChangeArrowheads="1"/>
        </xdr:cNvSpPr>
      </xdr:nvSpPr>
      <xdr:spPr>
        <a:xfrm>
          <a:off x="5819775" y="11220450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Two Wires</a:t>
          </a:r>
        </a:p>
      </xdr:txBody>
    </xdr:sp>
    <xdr:clientData/>
  </xdr:oneCellAnchor>
  <xdr:oneCellAnchor>
    <xdr:from>
      <xdr:col>23</xdr:col>
      <xdr:colOff>0</xdr:colOff>
      <xdr:row>66</xdr:row>
      <xdr:rowOff>95250</xdr:rowOff>
    </xdr:from>
    <xdr:ext cx="809625" cy="200025"/>
    <xdr:sp>
      <xdr:nvSpPr>
        <xdr:cNvPr id="11" name="TextBox 17"/>
        <xdr:cNvSpPr txBox="1">
          <a:spLocks noChangeArrowheads="1"/>
        </xdr:cNvSpPr>
      </xdr:nvSpPr>
      <xdr:spPr>
        <a:xfrm>
          <a:off x="9105900" y="11191875"/>
          <a:ext cx="809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Three Wires</a:t>
          </a:r>
        </a:p>
      </xdr:txBody>
    </xdr:sp>
    <xdr:clientData/>
  </xdr:oneCellAnchor>
  <xdr:twoCellAnchor>
    <xdr:from>
      <xdr:col>3</xdr:col>
      <xdr:colOff>0</xdr:colOff>
      <xdr:row>98</xdr:row>
      <xdr:rowOff>152400</xdr:rowOff>
    </xdr:from>
    <xdr:to>
      <xdr:col>3</xdr:col>
      <xdr:colOff>0</xdr:colOff>
      <xdr:row>124</xdr:row>
      <xdr:rowOff>152400</xdr:rowOff>
    </xdr:to>
    <xdr:sp>
      <xdr:nvSpPr>
        <xdr:cNvPr id="12" name="Line 18"/>
        <xdr:cNvSpPr>
          <a:spLocks/>
        </xdr:cNvSpPr>
      </xdr:nvSpPr>
      <xdr:spPr>
        <a:xfrm>
          <a:off x="1143000" y="1643062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125</xdr:row>
      <xdr:rowOff>9525</xdr:rowOff>
    </xdr:from>
    <xdr:to>
      <xdr:col>23</xdr:col>
      <xdr:colOff>142875</xdr:colOff>
      <xdr:row>125</xdr:row>
      <xdr:rowOff>9525</xdr:rowOff>
    </xdr:to>
    <xdr:sp>
      <xdr:nvSpPr>
        <xdr:cNvPr id="13" name="Line 19"/>
        <xdr:cNvSpPr>
          <a:spLocks/>
        </xdr:cNvSpPr>
      </xdr:nvSpPr>
      <xdr:spPr>
        <a:xfrm>
          <a:off x="1133475" y="20697825"/>
          <a:ext cx="811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103</xdr:row>
      <xdr:rowOff>152400</xdr:rowOff>
    </xdr:from>
    <xdr:to>
      <xdr:col>5</xdr:col>
      <xdr:colOff>9525</xdr:colOff>
      <xdr:row>103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1628775" y="17278350"/>
          <a:ext cx="323850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142875</xdr:rowOff>
    </xdr:from>
    <xdr:to>
      <xdr:col>5</xdr:col>
      <xdr:colOff>9525</xdr:colOff>
      <xdr:row>108</xdr:row>
      <xdr:rowOff>95250</xdr:rowOff>
    </xdr:to>
    <xdr:sp>
      <xdr:nvSpPr>
        <xdr:cNvPr id="15" name="Line 23"/>
        <xdr:cNvSpPr>
          <a:spLocks/>
        </xdr:cNvSpPr>
      </xdr:nvSpPr>
      <xdr:spPr>
        <a:xfrm>
          <a:off x="1952625" y="17268825"/>
          <a:ext cx="0" cy="7620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95250</xdr:rowOff>
    </xdr:from>
    <xdr:to>
      <xdr:col>5</xdr:col>
      <xdr:colOff>333375</xdr:colOff>
      <xdr:row>108</xdr:row>
      <xdr:rowOff>95250</xdr:rowOff>
    </xdr:to>
    <xdr:sp>
      <xdr:nvSpPr>
        <xdr:cNvPr id="16" name="Line 24"/>
        <xdr:cNvSpPr>
          <a:spLocks/>
        </xdr:cNvSpPr>
      </xdr:nvSpPr>
      <xdr:spPr>
        <a:xfrm>
          <a:off x="1952625" y="18030825"/>
          <a:ext cx="323850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108</xdr:row>
      <xdr:rowOff>95250</xdr:rowOff>
    </xdr:from>
    <xdr:to>
      <xdr:col>5</xdr:col>
      <xdr:colOff>333375</xdr:colOff>
      <xdr:row>111</xdr:row>
      <xdr:rowOff>85725</xdr:rowOff>
    </xdr:to>
    <xdr:sp>
      <xdr:nvSpPr>
        <xdr:cNvPr id="17" name="Line 26"/>
        <xdr:cNvSpPr>
          <a:spLocks/>
        </xdr:cNvSpPr>
      </xdr:nvSpPr>
      <xdr:spPr>
        <a:xfrm>
          <a:off x="2276475" y="18030825"/>
          <a:ext cx="0" cy="47625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111</xdr:row>
      <xdr:rowOff>85725</xdr:rowOff>
    </xdr:from>
    <xdr:to>
      <xdr:col>7</xdr:col>
      <xdr:colOff>342900</xdr:colOff>
      <xdr:row>111</xdr:row>
      <xdr:rowOff>85725</xdr:rowOff>
    </xdr:to>
    <xdr:sp>
      <xdr:nvSpPr>
        <xdr:cNvPr id="18" name="Line 28"/>
        <xdr:cNvSpPr>
          <a:spLocks/>
        </xdr:cNvSpPr>
      </xdr:nvSpPr>
      <xdr:spPr>
        <a:xfrm flipV="1">
          <a:off x="2276475" y="18507075"/>
          <a:ext cx="71437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111</xdr:row>
      <xdr:rowOff>85725</xdr:rowOff>
    </xdr:from>
    <xdr:to>
      <xdr:col>7</xdr:col>
      <xdr:colOff>361950</xdr:colOff>
      <xdr:row>112</xdr:row>
      <xdr:rowOff>57150</xdr:rowOff>
    </xdr:to>
    <xdr:sp>
      <xdr:nvSpPr>
        <xdr:cNvPr id="19" name="Line 29"/>
        <xdr:cNvSpPr>
          <a:spLocks/>
        </xdr:cNvSpPr>
      </xdr:nvSpPr>
      <xdr:spPr>
        <a:xfrm>
          <a:off x="3009900" y="18507075"/>
          <a:ext cx="0" cy="13335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112</xdr:row>
      <xdr:rowOff>66675</xdr:rowOff>
    </xdr:from>
    <xdr:to>
      <xdr:col>11</xdr:col>
      <xdr:colOff>66675</xdr:colOff>
      <xdr:row>112</xdr:row>
      <xdr:rowOff>66675</xdr:rowOff>
    </xdr:to>
    <xdr:sp>
      <xdr:nvSpPr>
        <xdr:cNvPr id="20" name="Line 31"/>
        <xdr:cNvSpPr>
          <a:spLocks/>
        </xdr:cNvSpPr>
      </xdr:nvSpPr>
      <xdr:spPr>
        <a:xfrm>
          <a:off x="3009900" y="18649950"/>
          <a:ext cx="13049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112</xdr:row>
      <xdr:rowOff>66675</xdr:rowOff>
    </xdr:from>
    <xdr:to>
      <xdr:col>11</xdr:col>
      <xdr:colOff>66675</xdr:colOff>
      <xdr:row>113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4314825" y="18649950"/>
          <a:ext cx="0" cy="142875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113</xdr:row>
      <xdr:rowOff>47625</xdr:rowOff>
    </xdr:from>
    <xdr:to>
      <xdr:col>17</xdr:col>
      <xdr:colOff>0</xdr:colOff>
      <xdr:row>113</xdr:row>
      <xdr:rowOff>47625</xdr:rowOff>
    </xdr:to>
    <xdr:sp>
      <xdr:nvSpPr>
        <xdr:cNvPr id="22" name="Line 33"/>
        <xdr:cNvSpPr>
          <a:spLocks/>
        </xdr:cNvSpPr>
      </xdr:nvSpPr>
      <xdr:spPr>
        <a:xfrm flipV="1">
          <a:off x="4305300" y="18792825"/>
          <a:ext cx="2524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390525</xdr:colOff>
      <xdr:row>113</xdr:row>
      <xdr:rowOff>57150</xdr:rowOff>
    </xdr:from>
    <xdr:to>
      <xdr:col>17</xdr:col>
      <xdr:colOff>323850</xdr:colOff>
      <xdr:row>117</xdr:row>
      <xdr:rowOff>114300</xdr:rowOff>
    </xdr:to>
    <xdr:sp>
      <xdr:nvSpPr>
        <xdr:cNvPr id="23" name="Line 34"/>
        <xdr:cNvSpPr>
          <a:spLocks/>
        </xdr:cNvSpPr>
      </xdr:nvSpPr>
      <xdr:spPr>
        <a:xfrm>
          <a:off x="6829425" y="18802350"/>
          <a:ext cx="323850" cy="70485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117</xdr:row>
      <xdr:rowOff>104775</xdr:rowOff>
    </xdr:from>
    <xdr:to>
      <xdr:col>23</xdr:col>
      <xdr:colOff>0</xdr:colOff>
      <xdr:row>117</xdr:row>
      <xdr:rowOff>104775</xdr:rowOff>
    </xdr:to>
    <xdr:sp>
      <xdr:nvSpPr>
        <xdr:cNvPr id="24" name="Line 35"/>
        <xdr:cNvSpPr>
          <a:spLocks/>
        </xdr:cNvSpPr>
      </xdr:nvSpPr>
      <xdr:spPr>
        <a:xfrm>
          <a:off x="7153275" y="19497675"/>
          <a:ext cx="19526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104775</xdr:rowOff>
    </xdr:from>
    <xdr:to>
      <xdr:col>5</xdr:col>
      <xdr:colOff>9525</xdr:colOff>
      <xdr:row>128</xdr:row>
      <xdr:rowOff>19050</xdr:rowOff>
    </xdr:to>
    <xdr:sp>
      <xdr:nvSpPr>
        <xdr:cNvPr id="25" name="Line 38"/>
        <xdr:cNvSpPr>
          <a:spLocks/>
        </xdr:cNvSpPr>
      </xdr:nvSpPr>
      <xdr:spPr>
        <a:xfrm>
          <a:off x="1952625" y="16744950"/>
          <a:ext cx="0" cy="4448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104</xdr:row>
      <xdr:rowOff>104775</xdr:rowOff>
    </xdr:from>
    <xdr:to>
      <xdr:col>5</xdr:col>
      <xdr:colOff>333375</xdr:colOff>
      <xdr:row>124</xdr:row>
      <xdr:rowOff>57150</xdr:rowOff>
    </xdr:to>
    <xdr:sp>
      <xdr:nvSpPr>
        <xdr:cNvPr id="26" name="Line 39"/>
        <xdr:cNvSpPr>
          <a:spLocks/>
        </xdr:cNvSpPr>
      </xdr:nvSpPr>
      <xdr:spPr>
        <a:xfrm>
          <a:off x="2276475" y="17392650"/>
          <a:ext cx="0" cy="3190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99</xdr:row>
      <xdr:rowOff>152400</xdr:rowOff>
    </xdr:from>
    <xdr:to>
      <xdr:col>17</xdr:col>
      <xdr:colOff>0</xdr:colOff>
      <xdr:row>131</xdr:row>
      <xdr:rowOff>66675</xdr:rowOff>
    </xdr:to>
    <xdr:sp>
      <xdr:nvSpPr>
        <xdr:cNvPr id="27" name="Line 42"/>
        <xdr:cNvSpPr>
          <a:spLocks/>
        </xdr:cNvSpPr>
      </xdr:nvSpPr>
      <xdr:spPr>
        <a:xfrm>
          <a:off x="6829425" y="16630650"/>
          <a:ext cx="0" cy="5133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114</xdr:row>
      <xdr:rowOff>66675</xdr:rowOff>
    </xdr:from>
    <xdr:to>
      <xdr:col>17</xdr:col>
      <xdr:colOff>323850</xdr:colOff>
      <xdr:row>129</xdr:row>
      <xdr:rowOff>152400</xdr:rowOff>
    </xdr:to>
    <xdr:sp>
      <xdr:nvSpPr>
        <xdr:cNvPr id="28" name="Line 43"/>
        <xdr:cNvSpPr>
          <a:spLocks/>
        </xdr:cNvSpPr>
      </xdr:nvSpPr>
      <xdr:spPr>
        <a:xfrm>
          <a:off x="7134225" y="18973800"/>
          <a:ext cx="19050" cy="2514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390525</xdr:colOff>
      <xdr:row>99</xdr:row>
      <xdr:rowOff>85725</xdr:rowOff>
    </xdr:from>
    <xdr:to>
      <xdr:col>22</xdr:col>
      <xdr:colOff>0</xdr:colOff>
      <xdr:row>130</xdr:row>
      <xdr:rowOff>28575</xdr:rowOff>
    </xdr:to>
    <xdr:sp>
      <xdr:nvSpPr>
        <xdr:cNvPr id="29" name="Line 44"/>
        <xdr:cNvSpPr>
          <a:spLocks/>
        </xdr:cNvSpPr>
      </xdr:nvSpPr>
      <xdr:spPr>
        <a:xfrm>
          <a:off x="8667750" y="1656397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30" name="Line 45"/>
        <xdr:cNvSpPr>
          <a:spLocks/>
        </xdr:cNvSpPr>
      </xdr:nvSpPr>
      <xdr:spPr>
        <a:xfrm>
          <a:off x="1628775" y="20202525"/>
          <a:ext cx="3238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120</xdr:row>
      <xdr:rowOff>85725</xdr:rowOff>
    </xdr:from>
    <xdr:to>
      <xdr:col>5</xdr:col>
      <xdr:colOff>9525</xdr:colOff>
      <xdr:row>121</xdr:row>
      <xdr:rowOff>152400</xdr:rowOff>
    </xdr:to>
    <xdr:sp>
      <xdr:nvSpPr>
        <xdr:cNvPr id="31" name="Line 46"/>
        <xdr:cNvSpPr>
          <a:spLocks/>
        </xdr:cNvSpPr>
      </xdr:nvSpPr>
      <xdr:spPr>
        <a:xfrm flipV="1">
          <a:off x="1952625" y="19964400"/>
          <a:ext cx="0" cy="228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120</xdr:row>
      <xdr:rowOff>85725</xdr:rowOff>
    </xdr:from>
    <xdr:to>
      <xdr:col>7</xdr:col>
      <xdr:colOff>238125</xdr:colOff>
      <xdr:row>120</xdr:row>
      <xdr:rowOff>85725</xdr:rowOff>
    </xdr:to>
    <xdr:sp>
      <xdr:nvSpPr>
        <xdr:cNvPr id="32" name="Line 49"/>
        <xdr:cNvSpPr>
          <a:spLocks/>
        </xdr:cNvSpPr>
      </xdr:nvSpPr>
      <xdr:spPr>
        <a:xfrm>
          <a:off x="1952625" y="19964400"/>
          <a:ext cx="933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109</xdr:row>
      <xdr:rowOff>95250</xdr:rowOff>
    </xdr:from>
    <xdr:to>
      <xdr:col>11</xdr:col>
      <xdr:colOff>85725</xdr:colOff>
      <xdr:row>120</xdr:row>
      <xdr:rowOff>85725</xdr:rowOff>
    </xdr:to>
    <xdr:sp>
      <xdr:nvSpPr>
        <xdr:cNvPr id="33" name="Line 50"/>
        <xdr:cNvSpPr>
          <a:spLocks/>
        </xdr:cNvSpPr>
      </xdr:nvSpPr>
      <xdr:spPr>
        <a:xfrm flipV="1">
          <a:off x="2905125" y="18192750"/>
          <a:ext cx="1428750" cy="1771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109</xdr:row>
      <xdr:rowOff>104775</xdr:rowOff>
    </xdr:from>
    <xdr:to>
      <xdr:col>17</xdr:col>
      <xdr:colOff>0</xdr:colOff>
      <xdr:row>109</xdr:row>
      <xdr:rowOff>104775</xdr:rowOff>
    </xdr:to>
    <xdr:sp>
      <xdr:nvSpPr>
        <xdr:cNvPr id="34" name="Line 51"/>
        <xdr:cNvSpPr>
          <a:spLocks/>
        </xdr:cNvSpPr>
      </xdr:nvSpPr>
      <xdr:spPr>
        <a:xfrm flipV="1">
          <a:off x="4343400" y="18202275"/>
          <a:ext cx="2486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109</xdr:row>
      <xdr:rowOff>95250</xdr:rowOff>
    </xdr:from>
    <xdr:to>
      <xdr:col>17</xdr:col>
      <xdr:colOff>323850</xdr:colOff>
      <xdr:row>122</xdr:row>
      <xdr:rowOff>9525</xdr:rowOff>
    </xdr:to>
    <xdr:sp>
      <xdr:nvSpPr>
        <xdr:cNvPr id="35" name="Line 52"/>
        <xdr:cNvSpPr>
          <a:spLocks/>
        </xdr:cNvSpPr>
      </xdr:nvSpPr>
      <xdr:spPr>
        <a:xfrm>
          <a:off x="6838950" y="18192750"/>
          <a:ext cx="314325" cy="2019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122</xdr:row>
      <xdr:rowOff>9525</xdr:rowOff>
    </xdr:from>
    <xdr:to>
      <xdr:col>21</xdr:col>
      <xdr:colOff>390525</xdr:colOff>
      <xdr:row>122</xdr:row>
      <xdr:rowOff>9525</xdr:rowOff>
    </xdr:to>
    <xdr:sp>
      <xdr:nvSpPr>
        <xdr:cNvPr id="36" name="Line 53"/>
        <xdr:cNvSpPr>
          <a:spLocks/>
        </xdr:cNvSpPr>
      </xdr:nvSpPr>
      <xdr:spPr>
        <a:xfrm flipV="1">
          <a:off x="7134225" y="20212050"/>
          <a:ext cx="15335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127</xdr:row>
      <xdr:rowOff>38100</xdr:rowOff>
    </xdr:from>
    <xdr:to>
      <xdr:col>5</xdr:col>
      <xdr:colOff>57150</xdr:colOff>
      <xdr:row>127</xdr:row>
      <xdr:rowOff>38100</xdr:rowOff>
    </xdr:to>
    <xdr:sp>
      <xdr:nvSpPr>
        <xdr:cNvPr id="37" name="Line 54"/>
        <xdr:cNvSpPr>
          <a:spLocks/>
        </xdr:cNvSpPr>
      </xdr:nvSpPr>
      <xdr:spPr>
        <a:xfrm>
          <a:off x="1066800" y="210502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109</xdr:row>
      <xdr:rowOff>114300</xdr:rowOff>
    </xdr:from>
    <xdr:to>
      <xdr:col>7</xdr:col>
      <xdr:colOff>238125</xdr:colOff>
      <xdr:row>130</xdr:row>
      <xdr:rowOff>9525</xdr:rowOff>
    </xdr:to>
    <xdr:sp>
      <xdr:nvSpPr>
        <xdr:cNvPr id="38" name="Line 55"/>
        <xdr:cNvSpPr>
          <a:spLocks/>
        </xdr:cNvSpPr>
      </xdr:nvSpPr>
      <xdr:spPr>
        <a:xfrm>
          <a:off x="2886075" y="18211800"/>
          <a:ext cx="0" cy="3295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127</xdr:row>
      <xdr:rowOff>9525</xdr:rowOff>
    </xdr:from>
    <xdr:to>
      <xdr:col>7</xdr:col>
      <xdr:colOff>200025</xdr:colOff>
      <xdr:row>127</xdr:row>
      <xdr:rowOff>9525</xdr:rowOff>
    </xdr:to>
    <xdr:sp>
      <xdr:nvSpPr>
        <xdr:cNvPr id="39" name="Line 56"/>
        <xdr:cNvSpPr>
          <a:spLocks/>
        </xdr:cNvSpPr>
      </xdr:nvSpPr>
      <xdr:spPr>
        <a:xfrm>
          <a:off x="1981200" y="210216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100</xdr:row>
      <xdr:rowOff>114300</xdr:rowOff>
    </xdr:from>
    <xdr:to>
      <xdr:col>11</xdr:col>
      <xdr:colOff>85725</xdr:colOff>
      <xdr:row>130</xdr:row>
      <xdr:rowOff>66675</xdr:rowOff>
    </xdr:to>
    <xdr:sp>
      <xdr:nvSpPr>
        <xdr:cNvPr id="40" name="Line 57"/>
        <xdr:cNvSpPr>
          <a:spLocks/>
        </xdr:cNvSpPr>
      </xdr:nvSpPr>
      <xdr:spPr>
        <a:xfrm>
          <a:off x="4333875" y="16754475"/>
          <a:ext cx="0" cy="4810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127</xdr:row>
      <xdr:rowOff>28575</xdr:rowOff>
    </xdr:from>
    <xdr:to>
      <xdr:col>11</xdr:col>
      <xdr:colOff>95250</xdr:colOff>
      <xdr:row>127</xdr:row>
      <xdr:rowOff>28575</xdr:rowOff>
    </xdr:to>
    <xdr:sp>
      <xdr:nvSpPr>
        <xdr:cNvPr id="41" name="Line 58"/>
        <xdr:cNvSpPr>
          <a:spLocks/>
        </xdr:cNvSpPr>
      </xdr:nvSpPr>
      <xdr:spPr>
        <a:xfrm>
          <a:off x="2905125" y="21040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127</xdr:row>
      <xdr:rowOff>28575</xdr:rowOff>
    </xdr:from>
    <xdr:to>
      <xdr:col>17</xdr:col>
      <xdr:colOff>28575</xdr:colOff>
      <xdr:row>127</xdr:row>
      <xdr:rowOff>28575</xdr:rowOff>
    </xdr:to>
    <xdr:sp>
      <xdr:nvSpPr>
        <xdr:cNvPr id="42" name="Line 59"/>
        <xdr:cNvSpPr>
          <a:spLocks/>
        </xdr:cNvSpPr>
      </xdr:nvSpPr>
      <xdr:spPr>
        <a:xfrm>
          <a:off x="4343400" y="210407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127</xdr:row>
      <xdr:rowOff>28575</xdr:rowOff>
    </xdr:from>
    <xdr:to>
      <xdr:col>17</xdr:col>
      <xdr:colOff>323850</xdr:colOff>
      <xdr:row>127</xdr:row>
      <xdr:rowOff>28575</xdr:rowOff>
    </xdr:to>
    <xdr:sp>
      <xdr:nvSpPr>
        <xdr:cNvPr id="43" name="Line 60"/>
        <xdr:cNvSpPr>
          <a:spLocks/>
        </xdr:cNvSpPr>
      </xdr:nvSpPr>
      <xdr:spPr>
        <a:xfrm>
          <a:off x="6858000" y="21040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127</xdr:row>
      <xdr:rowOff>28575</xdr:rowOff>
    </xdr:from>
    <xdr:to>
      <xdr:col>21</xdr:col>
      <xdr:colOff>390525</xdr:colOff>
      <xdr:row>127</xdr:row>
      <xdr:rowOff>28575</xdr:rowOff>
    </xdr:to>
    <xdr:sp>
      <xdr:nvSpPr>
        <xdr:cNvPr id="44" name="Line 61"/>
        <xdr:cNvSpPr>
          <a:spLocks/>
        </xdr:cNvSpPr>
      </xdr:nvSpPr>
      <xdr:spPr>
        <a:xfrm>
          <a:off x="7172325" y="210407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333375</xdr:colOff>
      <xdr:row>124</xdr:row>
      <xdr:rowOff>0</xdr:rowOff>
    </xdr:to>
    <xdr:sp>
      <xdr:nvSpPr>
        <xdr:cNvPr id="45" name="Line 62"/>
        <xdr:cNvSpPr>
          <a:spLocks/>
        </xdr:cNvSpPr>
      </xdr:nvSpPr>
      <xdr:spPr>
        <a:xfrm>
          <a:off x="1952625" y="205263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124</xdr:row>
      <xdr:rowOff>0</xdr:rowOff>
    </xdr:from>
    <xdr:to>
      <xdr:col>7</xdr:col>
      <xdr:colOff>238125</xdr:colOff>
      <xdr:row>124</xdr:row>
      <xdr:rowOff>0</xdr:rowOff>
    </xdr:to>
    <xdr:sp>
      <xdr:nvSpPr>
        <xdr:cNvPr id="46" name="Line 63"/>
        <xdr:cNvSpPr>
          <a:spLocks/>
        </xdr:cNvSpPr>
      </xdr:nvSpPr>
      <xdr:spPr>
        <a:xfrm>
          <a:off x="2276475" y="20526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105</xdr:row>
      <xdr:rowOff>104775</xdr:rowOff>
    </xdr:from>
    <xdr:to>
      <xdr:col>6</xdr:col>
      <xdr:colOff>57150</xdr:colOff>
      <xdr:row>106</xdr:row>
      <xdr:rowOff>85725</xdr:rowOff>
    </xdr:to>
    <xdr:sp>
      <xdr:nvSpPr>
        <xdr:cNvPr id="47" name="Line 64"/>
        <xdr:cNvSpPr>
          <a:spLocks/>
        </xdr:cNvSpPr>
      </xdr:nvSpPr>
      <xdr:spPr>
        <a:xfrm flipH="1">
          <a:off x="1971675" y="17554575"/>
          <a:ext cx="361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106</xdr:row>
      <xdr:rowOff>95250</xdr:rowOff>
    </xdr:from>
    <xdr:to>
      <xdr:col>14</xdr:col>
      <xdr:colOff>523875</xdr:colOff>
      <xdr:row>109</xdr:row>
      <xdr:rowOff>95250</xdr:rowOff>
    </xdr:to>
    <xdr:sp>
      <xdr:nvSpPr>
        <xdr:cNvPr id="48" name="Line 65"/>
        <xdr:cNvSpPr>
          <a:spLocks/>
        </xdr:cNvSpPr>
      </xdr:nvSpPr>
      <xdr:spPr>
        <a:xfrm>
          <a:off x="5657850" y="17706975"/>
          <a:ext cx="4191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102</xdr:row>
      <xdr:rowOff>114300</xdr:rowOff>
    </xdr:from>
    <xdr:to>
      <xdr:col>5</xdr:col>
      <xdr:colOff>333375</xdr:colOff>
      <xdr:row>103</xdr:row>
      <xdr:rowOff>133350</xdr:rowOff>
    </xdr:to>
    <xdr:sp>
      <xdr:nvSpPr>
        <xdr:cNvPr id="49" name="Line 66"/>
        <xdr:cNvSpPr>
          <a:spLocks/>
        </xdr:cNvSpPr>
      </xdr:nvSpPr>
      <xdr:spPr>
        <a:xfrm flipH="1">
          <a:off x="1809750" y="17078325"/>
          <a:ext cx="4667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129</xdr:row>
      <xdr:rowOff>95250</xdr:rowOff>
    </xdr:from>
    <xdr:to>
      <xdr:col>7</xdr:col>
      <xdr:colOff>228600</xdr:colOff>
      <xdr:row>129</xdr:row>
      <xdr:rowOff>95250</xdr:rowOff>
    </xdr:to>
    <xdr:sp>
      <xdr:nvSpPr>
        <xdr:cNvPr id="50" name="Line 67"/>
        <xdr:cNvSpPr>
          <a:spLocks/>
        </xdr:cNvSpPr>
      </xdr:nvSpPr>
      <xdr:spPr>
        <a:xfrm>
          <a:off x="2705100" y="21431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129</xdr:row>
      <xdr:rowOff>95250</xdr:rowOff>
    </xdr:from>
    <xdr:to>
      <xdr:col>11</xdr:col>
      <xdr:colOff>66675</xdr:colOff>
      <xdr:row>129</xdr:row>
      <xdr:rowOff>95250</xdr:rowOff>
    </xdr:to>
    <xdr:sp>
      <xdr:nvSpPr>
        <xdr:cNvPr id="51" name="Line 68"/>
        <xdr:cNvSpPr>
          <a:spLocks/>
        </xdr:cNvSpPr>
      </xdr:nvSpPr>
      <xdr:spPr>
        <a:xfrm>
          <a:off x="2886075" y="214312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128</xdr:row>
      <xdr:rowOff>85725</xdr:rowOff>
    </xdr:from>
    <xdr:to>
      <xdr:col>17</xdr:col>
      <xdr:colOff>285750</xdr:colOff>
      <xdr:row>128</xdr:row>
      <xdr:rowOff>85725</xdr:rowOff>
    </xdr:to>
    <xdr:sp>
      <xdr:nvSpPr>
        <xdr:cNvPr id="52" name="Line 69"/>
        <xdr:cNvSpPr>
          <a:spLocks/>
        </xdr:cNvSpPr>
      </xdr:nvSpPr>
      <xdr:spPr>
        <a:xfrm>
          <a:off x="6838950" y="2125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131</xdr:row>
      <xdr:rowOff>0</xdr:rowOff>
    </xdr:from>
    <xdr:to>
      <xdr:col>17</xdr:col>
      <xdr:colOff>0</xdr:colOff>
      <xdr:row>131</xdr:row>
      <xdr:rowOff>0</xdr:rowOff>
    </xdr:to>
    <xdr:sp>
      <xdr:nvSpPr>
        <xdr:cNvPr id="53" name="Line 70"/>
        <xdr:cNvSpPr>
          <a:spLocks/>
        </xdr:cNvSpPr>
      </xdr:nvSpPr>
      <xdr:spPr>
        <a:xfrm>
          <a:off x="6448425" y="21697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129</xdr:row>
      <xdr:rowOff>0</xdr:rowOff>
    </xdr:from>
    <xdr:to>
      <xdr:col>23</xdr:col>
      <xdr:colOff>0</xdr:colOff>
      <xdr:row>129</xdr:row>
      <xdr:rowOff>0</xdr:rowOff>
    </xdr:to>
    <xdr:sp>
      <xdr:nvSpPr>
        <xdr:cNvPr id="54" name="Line 71"/>
        <xdr:cNvSpPr>
          <a:spLocks/>
        </xdr:cNvSpPr>
      </xdr:nvSpPr>
      <xdr:spPr>
        <a:xfrm flipV="1">
          <a:off x="7172325" y="213360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128</xdr:row>
      <xdr:rowOff>152400</xdr:rowOff>
    </xdr:from>
    <xdr:to>
      <xdr:col>23</xdr:col>
      <xdr:colOff>0</xdr:colOff>
      <xdr:row>128</xdr:row>
      <xdr:rowOff>152400</xdr:rowOff>
    </xdr:to>
    <xdr:sp>
      <xdr:nvSpPr>
        <xdr:cNvPr id="55" name="Line 72"/>
        <xdr:cNvSpPr>
          <a:spLocks/>
        </xdr:cNvSpPr>
      </xdr:nvSpPr>
      <xdr:spPr>
        <a:xfrm flipH="1">
          <a:off x="9105900" y="2132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100</xdr:row>
      <xdr:rowOff>152400</xdr:rowOff>
    </xdr:from>
    <xdr:to>
      <xdr:col>11</xdr:col>
      <xdr:colOff>85725</xdr:colOff>
      <xdr:row>100</xdr:row>
      <xdr:rowOff>152400</xdr:rowOff>
    </xdr:to>
    <xdr:sp>
      <xdr:nvSpPr>
        <xdr:cNvPr id="56" name="Line 75"/>
        <xdr:cNvSpPr>
          <a:spLocks/>
        </xdr:cNvSpPr>
      </xdr:nvSpPr>
      <xdr:spPr>
        <a:xfrm>
          <a:off x="1981200" y="167925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101</xdr:row>
      <xdr:rowOff>0</xdr:rowOff>
    </xdr:from>
    <xdr:to>
      <xdr:col>5</xdr:col>
      <xdr:colOff>28575</xdr:colOff>
      <xdr:row>101</xdr:row>
      <xdr:rowOff>0</xdr:rowOff>
    </xdr:to>
    <xdr:sp>
      <xdr:nvSpPr>
        <xdr:cNvPr id="57" name="Line 76"/>
        <xdr:cNvSpPr>
          <a:spLocks/>
        </xdr:cNvSpPr>
      </xdr:nvSpPr>
      <xdr:spPr>
        <a:xfrm>
          <a:off x="1657350" y="16802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100</xdr:row>
      <xdr:rowOff>152400</xdr:rowOff>
    </xdr:from>
    <xdr:to>
      <xdr:col>16</xdr:col>
      <xdr:colOff>390525</xdr:colOff>
      <xdr:row>100</xdr:row>
      <xdr:rowOff>152400</xdr:rowOff>
    </xdr:to>
    <xdr:sp>
      <xdr:nvSpPr>
        <xdr:cNvPr id="58" name="Line 77"/>
        <xdr:cNvSpPr>
          <a:spLocks/>
        </xdr:cNvSpPr>
      </xdr:nvSpPr>
      <xdr:spPr>
        <a:xfrm>
          <a:off x="4343400" y="167925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100</xdr:row>
      <xdr:rowOff>152400</xdr:rowOff>
    </xdr:from>
    <xdr:to>
      <xdr:col>21</xdr:col>
      <xdr:colOff>390525</xdr:colOff>
      <xdr:row>100</xdr:row>
      <xdr:rowOff>152400</xdr:rowOff>
    </xdr:to>
    <xdr:sp>
      <xdr:nvSpPr>
        <xdr:cNvPr id="59" name="Line 78"/>
        <xdr:cNvSpPr>
          <a:spLocks/>
        </xdr:cNvSpPr>
      </xdr:nvSpPr>
      <xdr:spPr>
        <a:xfrm>
          <a:off x="6829425" y="167925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68</xdr:row>
      <xdr:rowOff>114300</xdr:rowOff>
    </xdr:from>
    <xdr:to>
      <xdr:col>5</xdr:col>
      <xdr:colOff>142875</xdr:colOff>
      <xdr:row>71</xdr:row>
      <xdr:rowOff>104775</xdr:rowOff>
    </xdr:to>
    <xdr:sp>
      <xdr:nvSpPr>
        <xdr:cNvPr id="60" name="Line 79"/>
        <xdr:cNvSpPr>
          <a:spLocks/>
        </xdr:cNvSpPr>
      </xdr:nvSpPr>
      <xdr:spPr>
        <a:xfrm>
          <a:off x="2085975" y="115347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69</xdr:row>
      <xdr:rowOff>0</xdr:rowOff>
    </xdr:from>
    <xdr:to>
      <xdr:col>5</xdr:col>
      <xdr:colOff>142875</xdr:colOff>
      <xdr:row>69</xdr:row>
      <xdr:rowOff>0</xdr:rowOff>
    </xdr:to>
    <xdr:sp>
      <xdr:nvSpPr>
        <xdr:cNvPr id="61" name="Line 80"/>
        <xdr:cNvSpPr>
          <a:spLocks/>
        </xdr:cNvSpPr>
      </xdr:nvSpPr>
      <xdr:spPr>
        <a:xfrm>
          <a:off x="1676400" y="115824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69</xdr:row>
      <xdr:rowOff>9525</xdr:rowOff>
    </xdr:from>
    <xdr:to>
      <xdr:col>7</xdr:col>
      <xdr:colOff>390525</xdr:colOff>
      <xdr:row>69</xdr:row>
      <xdr:rowOff>9525</xdr:rowOff>
    </xdr:to>
    <xdr:sp>
      <xdr:nvSpPr>
        <xdr:cNvPr id="62" name="Line 81"/>
        <xdr:cNvSpPr>
          <a:spLocks/>
        </xdr:cNvSpPr>
      </xdr:nvSpPr>
      <xdr:spPr>
        <a:xfrm flipV="1">
          <a:off x="2085975" y="11591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171450</xdr:colOff>
      <xdr:row>67</xdr:row>
      <xdr:rowOff>114300</xdr:rowOff>
    </xdr:from>
    <xdr:ext cx="295275" cy="200025"/>
    <xdr:sp>
      <xdr:nvSpPr>
        <xdr:cNvPr id="63" name="TextBox 82"/>
        <xdr:cNvSpPr txBox="1">
          <a:spLocks noChangeArrowheads="1"/>
        </xdr:cNvSpPr>
      </xdr:nvSpPr>
      <xdr:spPr>
        <a:xfrm>
          <a:off x="1790700" y="113728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5/8"</a:t>
          </a:r>
        </a:p>
      </xdr:txBody>
    </xdr:sp>
    <xdr:clientData/>
  </xdr:oneCellAnchor>
  <xdr:oneCellAnchor>
    <xdr:from>
      <xdr:col>6</xdr:col>
      <xdr:colOff>95250</xdr:colOff>
      <xdr:row>68</xdr:row>
      <xdr:rowOff>0</xdr:rowOff>
    </xdr:from>
    <xdr:ext cx="190500" cy="200025"/>
    <xdr:sp>
      <xdr:nvSpPr>
        <xdr:cNvPr id="64" name="TextBox 83"/>
        <xdr:cNvSpPr txBox="1">
          <a:spLocks noChangeArrowheads="1"/>
        </xdr:cNvSpPr>
      </xdr:nvSpPr>
      <xdr:spPr>
        <a:xfrm>
          <a:off x="2371725" y="114204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1"</a:t>
          </a:r>
        </a:p>
      </xdr:txBody>
    </xdr:sp>
    <xdr:clientData/>
  </xdr:oneCellAnchor>
  <xdr:twoCellAnchor>
    <xdr:from>
      <xdr:col>7</xdr:col>
      <xdr:colOff>342900</xdr:colOff>
      <xdr:row>69</xdr:row>
      <xdr:rowOff>0</xdr:rowOff>
    </xdr:from>
    <xdr:to>
      <xdr:col>16</xdr:col>
      <xdr:colOff>57150</xdr:colOff>
      <xdr:row>69</xdr:row>
      <xdr:rowOff>0</xdr:rowOff>
    </xdr:to>
    <xdr:sp>
      <xdr:nvSpPr>
        <xdr:cNvPr id="65" name="Line 85"/>
        <xdr:cNvSpPr>
          <a:spLocks/>
        </xdr:cNvSpPr>
      </xdr:nvSpPr>
      <xdr:spPr>
        <a:xfrm>
          <a:off x="2990850" y="11582400"/>
          <a:ext cx="3505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66675</xdr:colOff>
      <xdr:row>68</xdr:row>
      <xdr:rowOff>0</xdr:rowOff>
    </xdr:from>
    <xdr:ext cx="400050" cy="200025"/>
    <xdr:sp>
      <xdr:nvSpPr>
        <xdr:cNvPr id="66" name="TextBox 86"/>
        <xdr:cNvSpPr txBox="1">
          <a:spLocks noChangeArrowheads="1"/>
        </xdr:cNvSpPr>
      </xdr:nvSpPr>
      <xdr:spPr>
        <a:xfrm>
          <a:off x="4705350" y="11420475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1/2"</a:t>
          </a:r>
        </a:p>
      </xdr:txBody>
    </xdr:sp>
    <xdr:clientData/>
  </xdr:oneCellAnchor>
  <xdr:twoCellAnchor>
    <xdr:from>
      <xdr:col>16</xdr:col>
      <xdr:colOff>38100</xdr:colOff>
      <xdr:row>68</xdr:row>
      <xdr:rowOff>66675</xdr:rowOff>
    </xdr:from>
    <xdr:to>
      <xdr:col>16</xdr:col>
      <xdr:colOff>38100</xdr:colOff>
      <xdr:row>71</xdr:row>
      <xdr:rowOff>19050</xdr:rowOff>
    </xdr:to>
    <xdr:sp>
      <xdr:nvSpPr>
        <xdr:cNvPr id="67" name="Line 87"/>
        <xdr:cNvSpPr>
          <a:spLocks/>
        </xdr:cNvSpPr>
      </xdr:nvSpPr>
      <xdr:spPr>
        <a:xfrm>
          <a:off x="6477000" y="11487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67</xdr:row>
      <xdr:rowOff>9525</xdr:rowOff>
    </xdr:from>
    <xdr:to>
      <xdr:col>21</xdr:col>
      <xdr:colOff>123825</xdr:colOff>
      <xdr:row>92</xdr:row>
      <xdr:rowOff>66675</xdr:rowOff>
    </xdr:to>
    <xdr:sp>
      <xdr:nvSpPr>
        <xdr:cNvPr id="68" name="Line 88"/>
        <xdr:cNvSpPr>
          <a:spLocks/>
        </xdr:cNvSpPr>
      </xdr:nvSpPr>
      <xdr:spPr>
        <a:xfrm flipV="1">
          <a:off x="8401050" y="1126807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69</xdr:row>
      <xdr:rowOff>0</xdr:rowOff>
    </xdr:from>
    <xdr:to>
      <xdr:col>21</xdr:col>
      <xdr:colOff>123825</xdr:colOff>
      <xdr:row>69</xdr:row>
      <xdr:rowOff>0</xdr:rowOff>
    </xdr:to>
    <xdr:sp>
      <xdr:nvSpPr>
        <xdr:cNvPr id="69" name="Line 89"/>
        <xdr:cNvSpPr>
          <a:spLocks/>
        </xdr:cNvSpPr>
      </xdr:nvSpPr>
      <xdr:spPr>
        <a:xfrm>
          <a:off x="6505575" y="11582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123825</xdr:colOff>
      <xdr:row>68</xdr:row>
      <xdr:rowOff>142875</xdr:rowOff>
    </xdr:from>
    <xdr:ext cx="76200" cy="200025"/>
    <xdr:sp>
      <xdr:nvSpPr>
        <xdr:cNvPr id="70" name="TextBox 90"/>
        <xdr:cNvSpPr txBox="1">
          <a:spLocks noChangeArrowheads="1"/>
        </xdr:cNvSpPr>
      </xdr:nvSpPr>
      <xdr:spPr>
        <a:xfrm>
          <a:off x="6953250" y="1156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57150</xdr:colOff>
      <xdr:row>68</xdr:row>
      <xdr:rowOff>0</xdr:rowOff>
    </xdr:from>
    <xdr:ext cx="400050" cy="200025"/>
    <xdr:sp>
      <xdr:nvSpPr>
        <xdr:cNvPr id="71" name="TextBox 91"/>
        <xdr:cNvSpPr txBox="1">
          <a:spLocks noChangeArrowheads="1"/>
        </xdr:cNvSpPr>
      </xdr:nvSpPr>
      <xdr:spPr>
        <a:xfrm>
          <a:off x="6886575" y="11420475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1/2"</a:t>
          </a:r>
        </a:p>
      </xdr:txBody>
    </xdr:sp>
    <xdr:clientData/>
  </xdr:oneCellAnchor>
  <xdr:oneCellAnchor>
    <xdr:from>
      <xdr:col>23</xdr:col>
      <xdr:colOff>133350</xdr:colOff>
      <xdr:row>67</xdr:row>
      <xdr:rowOff>133350</xdr:rowOff>
    </xdr:from>
    <xdr:ext cx="390525" cy="276225"/>
    <xdr:sp>
      <xdr:nvSpPr>
        <xdr:cNvPr id="72" name="TextBox 92"/>
        <xdr:cNvSpPr txBox="1">
          <a:spLocks noChangeArrowheads="1"/>
        </xdr:cNvSpPr>
      </xdr:nvSpPr>
      <xdr:spPr>
        <a:xfrm>
          <a:off x="9239250" y="11391900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 1/2"</a:t>
          </a:r>
        </a:p>
      </xdr:txBody>
    </xdr:sp>
    <xdr:clientData/>
  </xdr:oneCellAnchor>
  <xdr:twoCellAnchor>
    <xdr:from>
      <xdr:col>21</xdr:col>
      <xdr:colOff>133350</xdr:colOff>
      <xdr:row>68</xdr:row>
      <xdr:rowOff>142875</xdr:rowOff>
    </xdr:from>
    <xdr:to>
      <xdr:col>28</xdr:col>
      <xdr:colOff>57150</xdr:colOff>
      <xdr:row>68</xdr:row>
      <xdr:rowOff>142875</xdr:rowOff>
    </xdr:to>
    <xdr:sp>
      <xdr:nvSpPr>
        <xdr:cNvPr id="73" name="Line 93"/>
        <xdr:cNvSpPr>
          <a:spLocks/>
        </xdr:cNvSpPr>
      </xdr:nvSpPr>
      <xdr:spPr>
        <a:xfrm>
          <a:off x="8410575" y="1156335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C83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22.140625" style="0" customWidth="1"/>
    <col min="2" max="2" width="1.8515625" style="85" customWidth="1"/>
    <col min="3" max="3" width="14.8515625" style="2" bestFit="1" customWidth="1"/>
    <col min="4" max="4" width="5.140625" style="0" customWidth="1"/>
    <col min="5" max="5" width="10.00390625" style="0" bestFit="1" customWidth="1"/>
    <col min="6" max="6" width="17.28125" style="0" customWidth="1"/>
    <col min="7" max="7" width="10.8515625" style="0" customWidth="1"/>
    <col min="9" max="9" width="6.00390625" style="0" customWidth="1"/>
    <col min="10" max="10" width="13.8515625" style="0" customWidth="1"/>
    <col min="11" max="11" width="9.421875" style="0" customWidth="1"/>
    <col min="12" max="12" width="6.7109375" style="0" customWidth="1"/>
    <col min="14" max="14" width="4.57421875" style="0" customWidth="1"/>
    <col min="15" max="15" width="8.8515625" style="0" customWidth="1"/>
    <col min="16" max="16" width="6.7109375" style="0" bestFit="1" customWidth="1"/>
    <col min="17" max="17" width="5.421875" style="0" bestFit="1" customWidth="1"/>
    <col min="18" max="18" width="6.140625" style="0" bestFit="1" customWidth="1"/>
    <col min="19" max="19" width="7.8515625" style="0" bestFit="1" customWidth="1"/>
    <col min="20" max="20" width="8.57421875" style="0" customWidth="1"/>
    <col min="21" max="21" width="6.57421875" style="0" customWidth="1"/>
    <col min="22" max="22" width="7.28125" style="0" customWidth="1"/>
    <col min="23" max="23" width="6.421875" style="0" bestFit="1" customWidth="1"/>
    <col min="24" max="24" width="13.57421875" style="0" customWidth="1"/>
    <col min="25" max="25" width="11.8515625" style="0" customWidth="1"/>
    <col min="27" max="27" width="3.00390625" style="0" bestFit="1" customWidth="1"/>
    <col min="38" max="38" width="3.00390625" style="0" bestFit="1" customWidth="1"/>
  </cols>
  <sheetData>
    <row r="1" spans="1:8" ht="17.25" thickBot="1">
      <c r="A1" s="655" t="s">
        <v>380</v>
      </c>
      <c r="G1" s="228">
        <v>41327</v>
      </c>
      <c r="H1" s="3"/>
    </row>
    <row r="2" spans="1:11" ht="12.75">
      <c r="A2" s="296" t="s">
        <v>264</v>
      </c>
      <c r="C2" s="297"/>
      <c r="D2" s="216"/>
      <c r="E2" s="366" t="s">
        <v>318</v>
      </c>
      <c r="F2" s="365"/>
      <c r="G2" s="227"/>
      <c r="H2" s="225"/>
      <c r="K2" s="156"/>
    </row>
    <row r="3" spans="1:10" ht="12.75">
      <c r="A3" s="90" t="s">
        <v>54</v>
      </c>
      <c r="C3" s="214"/>
      <c r="D3" s="216"/>
      <c r="E3" s="16" t="s">
        <v>319</v>
      </c>
      <c r="F3" s="3"/>
      <c r="G3" s="432"/>
      <c r="H3" s="225"/>
      <c r="J3" s="547" t="s">
        <v>323</v>
      </c>
    </row>
    <row r="4" spans="1:8" ht="12.75">
      <c r="A4" s="87" t="s">
        <v>131</v>
      </c>
      <c r="B4" s="88" t="s">
        <v>56</v>
      </c>
      <c r="C4" s="211"/>
      <c r="D4" s="216"/>
      <c r="E4" s="224" t="s">
        <v>64</v>
      </c>
      <c r="F4" s="225"/>
      <c r="G4" s="433"/>
      <c r="H4" s="225"/>
    </row>
    <row r="5" spans="1:8" ht="12.75">
      <c r="A5" s="87" t="s">
        <v>132</v>
      </c>
      <c r="B5" s="88" t="s">
        <v>56</v>
      </c>
      <c r="C5" s="211"/>
      <c r="D5" s="216"/>
      <c r="E5" s="224" t="s">
        <v>120</v>
      </c>
      <c r="F5" s="225"/>
      <c r="G5" s="433"/>
      <c r="H5" s="225"/>
    </row>
    <row r="6" spans="1:8" ht="12.75">
      <c r="A6" s="87" t="s">
        <v>133</v>
      </c>
      <c r="B6" s="88" t="s">
        <v>56</v>
      </c>
      <c r="C6" s="212"/>
      <c r="D6" s="216"/>
      <c r="E6" s="224" t="s">
        <v>121</v>
      </c>
      <c r="F6" s="225"/>
      <c r="G6" s="433"/>
      <c r="H6" s="225"/>
    </row>
    <row r="7" spans="1:8" ht="12.75">
      <c r="A7" s="87" t="s">
        <v>134</v>
      </c>
      <c r="B7" s="88" t="s">
        <v>56</v>
      </c>
      <c r="C7" s="213"/>
      <c r="D7" s="216"/>
      <c r="E7" s="224" t="s">
        <v>122</v>
      </c>
      <c r="F7" s="662"/>
      <c r="G7" s="434"/>
      <c r="H7" s="225"/>
    </row>
    <row r="8" spans="1:39" ht="15.75">
      <c r="A8" s="87" t="s">
        <v>135</v>
      </c>
      <c r="B8" s="88" t="s">
        <v>56</v>
      </c>
      <c r="C8" s="213" t="s">
        <v>381</v>
      </c>
      <c r="D8" s="216"/>
      <c r="E8" s="224" t="s">
        <v>123</v>
      </c>
      <c r="F8" s="225"/>
      <c r="G8" s="535"/>
      <c r="H8" s="225"/>
      <c r="I8" s="3"/>
      <c r="O8" s="619"/>
      <c r="AD8" s="619" t="s">
        <v>378</v>
      </c>
      <c r="AM8" s="619" t="s">
        <v>379</v>
      </c>
    </row>
    <row r="9" spans="1:51" ht="18.75" thickBot="1">
      <c r="A9" s="91" t="s">
        <v>130</v>
      </c>
      <c r="C9" s="214"/>
      <c r="D9" s="216"/>
      <c r="E9" s="224" t="s">
        <v>218</v>
      </c>
      <c r="F9" s="225"/>
      <c r="G9" s="435"/>
      <c r="H9" s="225"/>
      <c r="I9" s="93"/>
      <c r="AY9" s="678" t="s">
        <v>383</v>
      </c>
    </row>
    <row r="10" spans="1:55" ht="13.5" thickBot="1">
      <c r="A10" s="87" t="s">
        <v>136</v>
      </c>
      <c r="B10" s="88" t="s">
        <v>56</v>
      </c>
      <c r="C10" s="213">
        <v>85</v>
      </c>
      <c r="D10" s="216"/>
      <c r="E10" s="436" t="s">
        <v>238</v>
      </c>
      <c r="F10" s="226"/>
      <c r="G10" s="437"/>
      <c r="H10" s="225"/>
      <c r="I10" s="3"/>
      <c r="J10" s="534" t="s">
        <v>357</v>
      </c>
      <c r="K10" s="663">
        <v>1</v>
      </c>
      <c r="O10" s="640" t="s">
        <v>368</v>
      </c>
      <c r="P10" s="641"/>
      <c r="Q10" s="641"/>
      <c r="R10" s="641"/>
      <c r="S10" s="641"/>
      <c r="T10" s="641"/>
      <c r="U10" s="641"/>
      <c r="V10" s="642"/>
      <c r="W10" s="643"/>
      <c r="X10" s="28" t="s">
        <v>163</v>
      </c>
      <c r="Y10" s="46" t="s">
        <v>164</v>
      </c>
      <c r="AB10" s="178" t="s">
        <v>368</v>
      </c>
      <c r="AC10" s="566"/>
      <c r="AD10" s="566"/>
      <c r="AE10" s="566"/>
      <c r="AF10" s="566"/>
      <c r="AG10" s="566"/>
      <c r="AH10" s="566"/>
      <c r="AI10" s="597"/>
      <c r="AJ10" s="598"/>
      <c r="AK10" s="3"/>
      <c r="AM10" s="178" t="s">
        <v>368</v>
      </c>
      <c r="AN10" s="566"/>
      <c r="AO10" s="566"/>
      <c r="AP10" s="566"/>
      <c r="AQ10" s="566"/>
      <c r="AR10" s="566"/>
      <c r="AS10" s="566"/>
      <c r="AT10" s="620"/>
      <c r="AU10" s="46"/>
      <c r="AY10" s="178" t="s">
        <v>368</v>
      </c>
      <c r="AZ10" s="165"/>
      <c r="BA10" s="165"/>
      <c r="BB10" s="165"/>
      <c r="BC10" s="165"/>
    </row>
    <row r="11" spans="1:55" ht="13.5" thickBot="1">
      <c r="A11" s="87" t="s">
        <v>237</v>
      </c>
      <c r="B11" s="88" t="s">
        <v>56</v>
      </c>
      <c r="C11" s="215"/>
      <c r="D11" s="216"/>
      <c r="E11" s="3"/>
      <c r="F11" s="3"/>
      <c r="G11" s="225"/>
      <c r="H11" s="225"/>
      <c r="I11" s="3"/>
      <c r="J11" s="534" t="s">
        <v>358</v>
      </c>
      <c r="K11" s="663">
        <v>96</v>
      </c>
      <c r="N11" s="645" t="s">
        <v>114</v>
      </c>
      <c r="O11" s="567" t="s">
        <v>165</v>
      </c>
      <c r="P11" s="568" t="s">
        <v>345</v>
      </c>
      <c r="Q11" s="568" t="s">
        <v>347</v>
      </c>
      <c r="R11" s="568" t="s">
        <v>21</v>
      </c>
      <c r="S11" s="568" t="s">
        <v>346</v>
      </c>
      <c r="T11" s="644" t="s">
        <v>167</v>
      </c>
      <c r="U11" s="644" t="s">
        <v>168</v>
      </c>
      <c r="V11" s="644" t="s">
        <v>166</v>
      </c>
      <c r="W11" s="279" t="s">
        <v>374</v>
      </c>
      <c r="X11" s="593">
        <v>16</v>
      </c>
      <c r="Y11" s="191">
        <v>0.0598</v>
      </c>
      <c r="AA11" s="630" t="s">
        <v>114</v>
      </c>
      <c r="AB11" s="567" t="s">
        <v>165</v>
      </c>
      <c r="AC11" s="568" t="s">
        <v>345</v>
      </c>
      <c r="AD11" s="568" t="s">
        <v>347</v>
      </c>
      <c r="AE11" s="568" t="s">
        <v>21</v>
      </c>
      <c r="AF11" s="568" t="s">
        <v>346</v>
      </c>
      <c r="AG11" s="568" t="s">
        <v>167</v>
      </c>
      <c r="AH11" s="592" t="s">
        <v>168</v>
      </c>
      <c r="AI11" s="596" t="s">
        <v>166</v>
      </c>
      <c r="AJ11" s="191" t="s">
        <v>374</v>
      </c>
      <c r="AK11" s="5"/>
      <c r="AL11" s="630" t="s">
        <v>114</v>
      </c>
      <c r="AM11" s="567" t="s">
        <v>165</v>
      </c>
      <c r="AN11" s="568" t="s">
        <v>345</v>
      </c>
      <c r="AO11" s="568" t="s">
        <v>347</v>
      </c>
      <c r="AP11" s="568" t="s">
        <v>21</v>
      </c>
      <c r="AQ11" s="568" t="s">
        <v>346</v>
      </c>
      <c r="AR11" s="568" t="s">
        <v>167</v>
      </c>
      <c r="AS11" s="568" t="s">
        <v>168</v>
      </c>
      <c r="AT11" s="621" t="s">
        <v>166</v>
      </c>
      <c r="AU11" s="191" t="s">
        <v>374</v>
      </c>
      <c r="AY11" s="665" t="s">
        <v>165</v>
      </c>
      <c r="AZ11" s="666" t="s">
        <v>382</v>
      </c>
      <c r="BA11" s="666" t="s">
        <v>114</v>
      </c>
      <c r="BB11" s="666" t="s">
        <v>21</v>
      </c>
      <c r="BC11" s="666" t="s">
        <v>382</v>
      </c>
    </row>
    <row r="12" spans="1:55" ht="13.5" thickBot="1">
      <c r="A12" s="87" t="s">
        <v>158</v>
      </c>
      <c r="B12" s="88" t="s">
        <v>56</v>
      </c>
      <c r="C12" s="213">
        <v>0</v>
      </c>
      <c r="D12" s="216"/>
      <c r="E12" s="548"/>
      <c r="F12" s="439" t="s">
        <v>77</v>
      </c>
      <c r="G12" s="440">
        <v>12</v>
      </c>
      <c r="H12" s="225"/>
      <c r="I12" s="3"/>
      <c r="J12" s="534" t="s">
        <v>129</v>
      </c>
      <c r="K12" s="663">
        <v>1.5</v>
      </c>
      <c r="N12" s="646">
        <v>1</v>
      </c>
      <c r="O12" s="680">
        <v>0.625</v>
      </c>
      <c r="P12" s="579">
        <v>16</v>
      </c>
      <c r="Q12" s="580">
        <v>3</v>
      </c>
      <c r="R12" s="575">
        <v>0.6875</v>
      </c>
      <c r="S12" s="580">
        <v>10</v>
      </c>
      <c r="T12" s="601">
        <f aca="true" t="shared" si="0" ref="T12:T24">VLOOKUP(P12,$X$11:$Y$17,2,FALSE)*Q12*R12</f>
        <v>0.1233375</v>
      </c>
      <c r="U12" s="603">
        <f aca="true" t="shared" si="1" ref="U12:U24">VLOOKUP(S12,$X$11:$Y$17,2,FALSE)*O12</f>
        <v>0.08406250000000001</v>
      </c>
      <c r="V12" s="603">
        <f>T12+U12</f>
        <v>0.20740000000000003</v>
      </c>
      <c r="W12" s="638">
        <v>1</v>
      </c>
      <c r="X12" s="593">
        <v>14</v>
      </c>
      <c r="Y12" s="191">
        <v>0.0747</v>
      </c>
      <c r="AA12" s="2">
        <v>1</v>
      </c>
      <c r="AB12" s="563">
        <v>0.625</v>
      </c>
      <c r="AC12" s="579">
        <v>16</v>
      </c>
      <c r="AD12" s="580">
        <v>3</v>
      </c>
      <c r="AE12" s="575">
        <v>0.6875</v>
      </c>
      <c r="AF12" s="580">
        <v>10</v>
      </c>
      <c r="AG12" s="601">
        <f aca="true" t="shared" si="2" ref="AG12:AG24">VLOOKUP(AC12,$X$11:$Y$17,2,FALSE)*AD12*AE12</f>
        <v>0.1233375</v>
      </c>
      <c r="AH12" s="602">
        <f aca="true" t="shared" si="3" ref="AH12:AH24">VLOOKUP(AF12,$X$11:$Y$17,2,FALSE)*AB12</f>
        <v>0.08406250000000001</v>
      </c>
      <c r="AI12" s="603">
        <f>AG12+AH12</f>
        <v>0.20740000000000003</v>
      </c>
      <c r="AJ12" s="638">
        <v>1</v>
      </c>
      <c r="AK12" s="633"/>
      <c r="AL12" s="2">
        <v>1</v>
      </c>
      <c r="AM12" s="563">
        <v>0.625</v>
      </c>
      <c r="AN12" s="579">
        <v>16</v>
      </c>
      <c r="AO12" s="580">
        <v>3</v>
      </c>
      <c r="AP12" s="575">
        <v>0.6875</v>
      </c>
      <c r="AQ12" s="580">
        <v>10</v>
      </c>
      <c r="AR12" s="622">
        <f aca="true" t="shared" si="4" ref="AR12:AR24">VLOOKUP(AN12,$X$11:$Y$17,2,FALSE)*AO12*AP12</f>
        <v>0.1233375</v>
      </c>
      <c r="AS12" s="623">
        <f aca="true" t="shared" si="5" ref="AS12:AS24">VLOOKUP(AQ12,$X$11:$Y$17,2,FALSE)*AM12</f>
        <v>0.08406250000000001</v>
      </c>
      <c r="AT12" s="624">
        <f>AR12+AS12</f>
        <v>0.20740000000000003</v>
      </c>
      <c r="AU12" s="638">
        <v>1</v>
      </c>
      <c r="AY12" s="667">
        <v>0.625</v>
      </c>
      <c r="AZ12" s="668">
        <v>16</v>
      </c>
      <c r="BA12" s="98">
        <v>2</v>
      </c>
      <c r="BB12" s="98">
        <f>11/16</f>
        <v>0.6875</v>
      </c>
      <c r="BC12" s="98">
        <v>12</v>
      </c>
    </row>
    <row r="13" spans="1:55" ht="12.75">
      <c r="A13" s="87" t="s">
        <v>137</v>
      </c>
      <c r="B13" s="88" t="s">
        <v>56</v>
      </c>
      <c r="C13" s="213" t="s">
        <v>57</v>
      </c>
      <c r="D13" s="216"/>
      <c r="E13" s="294"/>
      <c r="F13" s="438" t="s">
        <v>350</v>
      </c>
      <c r="G13" s="508">
        <f>IF(C20&gt;0,(C20-10)/C10,0)</f>
        <v>2.4941176470588236</v>
      </c>
      <c r="H13" s="225"/>
      <c r="I13" s="3"/>
      <c r="J13" s="534" t="s">
        <v>359</v>
      </c>
      <c r="K13" s="663">
        <v>1</v>
      </c>
      <c r="N13" s="646">
        <v>2</v>
      </c>
      <c r="O13" s="680">
        <v>0.75</v>
      </c>
      <c r="P13" s="579">
        <v>16</v>
      </c>
      <c r="Q13" s="580">
        <v>3</v>
      </c>
      <c r="R13" s="575">
        <v>0.6875</v>
      </c>
      <c r="S13" s="580">
        <v>10</v>
      </c>
      <c r="T13" s="601">
        <f t="shared" si="0"/>
        <v>0.1233375</v>
      </c>
      <c r="U13" s="603">
        <f t="shared" si="1"/>
        <v>0.100875</v>
      </c>
      <c r="V13" s="603">
        <f>T13+U13</f>
        <v>0.2242125</v>
      </c>
      <c r="W13" s="638">
        <v>1</v>
      </c>
      <c r="X13" s="593">
        <v>12</v>
      </c>
      <c r="Y13" s="191">
        <v>0.1046</v>
      </c>
      <c r="AA13" s="2">
        <v>2</v>
      </c>
      <c r="AB13" s="563">
        <v>0.75</v>
      </c>
      <c r="AC13" s="579">
        <v>16</v>
      </c>
      <c r="AD13" s="580">
        <v>3</v>
      </c>
      <c r="AE13" s="575">
        <v>0.6875</v>
      </c>
      <c r="AF13" s="580">
        <v>10</v>
      </c>
      <c r="AG13" s="601">
        <f t="shared" si="2"/>
        <v>0.1233375</v>
      </c>
      <c r="AH13" s="602">
        <f t="shared" si="3"/>
        <v>0.100875</v>
      </c>
      <c r="AI13" s="603">
        <f>AG13+AH13</f>
        <v>0.2242125</v>
      </c>
      <c r="AJ13" s="638">
        <v>1</v>
      </c>
      <c r="AK13" s="633"/>
      <c r="AL13" s="2">
        <v>2</v>
      </c>
      <c r="AM13" s="563">
        <v>0.75</v>
      </c>
      <c r="AN13" s="579">
        <v>16</v>
      </c>
      <c r="AO13" s="580">
        <v>3</v>
      </c>
      <c r="AP13" s="575">
        <v>0.6875</v>
      </c>
      <c r="AQ13" s="580">
        <v>10</v>
      </c>
      <c r="AR13" s="622">
        <f t="shared" si="4"/>
        <v>0.1233375</v>
      </c>
      <c r="AS13" s="623">
        <f t="shared" si="5"/>
        <v>0.100875</v>
      </c>
      <c r="AT13" s="624">
        <f>AR13+AS13</f>
        <v>0.2242125</v>
      </c>
      <c r="AU13" s="638">
        <v>1</v>
      </c>
      <c r="AY13" s="669">
        <v>1</v>
      </c>
      <c r="AZ13" s="668">
        <v>16</v>
      </c>
      <c r="BA13" s="98">
        <v>2</v>
      </c>
      <c r="BB13" s="98">
        <v>1</v>
      </c>
      <c r="BC13" s="98">
        <v>12</v>
      </c>
    </row>
    <row r="14" spans="1:55" ht="15.75">
      <c r="A14" s="87" t="s">
        <v>138</v>
      </c>
      <c r="B14" s="88" t="s">
        <v>56</v>
      </c>
      <c r="C14" s="213" t="s">
        <v>57</v>
      </c>
      <c r="D14" s="216"/>
      <c r="E14" s="591" t="s">
        <v>109</v>
      </c>
      <c r="F14" s="441" t="s">
        <v>326</v>
      </c>
      <c r="G14" s="349">
        <v>24</v>
      </c>
      <c r="H14" s="225"/>
      <c r="I14" s="3"/>
      <c r="J14" s="585" t="s">
        <v>319</v>
      </c>
      <c r="K14" s="586" t="s">
        <v>385</v>
      </c>
      <c r="N14" s="646">
        <v>3</v>
      </c>
      <c r="O14" s="681">
        <v>1</v>
      </c>
      <c r="P14" s="579">
        <v>16</v>
      </c>
      <c r="Q14" s="580">
        <v>2</v>
      </c>
      <c r="R14" s="575">
        <v>1</v>
      </c>
      <c r="S14" s="580">
        <v>10</v>
      </c>
      <c r="T14" s="601">
        <f t="shared" si="0"/>
        <v>0.1196</v>
      </c>
      <c r="U14" s="603">
        <f t="shared" si="1"/>
        <v>0.1345</v>
      </c>
      <c r="V14" s="603">
        <f aca="true" t="shared" si="6" ref="V14:V19">T14+U14</f>
        <v>0.2541</v>
      </c>
      <c r="W14" s="638">
        <v>1</v>
      </c>
      <c r="X14" s="594">
        <v>10</v>
      </c>
      <c r="Y14" s="191">
        <v>0.1345</v>
      </c>
      <c r="AA14" s="2">
        <v>3</v>
      </c>
      <c r="AB14" s="564">
        <v>1</v>
      </c>
      <c r="AC14" s="579">
        <v>16</v>
      </c>
      <c r="AD14" s="580">
        <v>2</v>
      </c>
      <c r="AE14" s="575">
        <v>1</v>
      </c>
      <c r="AF14" s="580">
        <v>10</v>
      </c>
      <c r="AG14" s="601">
        <f t="shared" si="2"/>
        <v>0.1196</v>
      </c>
      <c r="AH14" s="602">
        <f t="shared" si="3"/>
        <v>0.1345</v>
      </c>
      <c r="AI14" s="603">
        <f aca="true" t="shared" si="7" ref="AI14:AI19">AG14+AH14</f>
        <v>0.2541</v>
      </c>
      <c r="AJ14" s="638">
        <v>1</v>
      </c>
      <c r="AK14" s="633"/>
      <c r="AL14" s="2">
        <v>3</v>
      </c>
      <c r="AM14" s="564">
        <v>1</v>
      </c>
      <c r="AN14" s="579">
        <v>16</v>
      </c>
      <c r="AO14" s="580">
        <v>2</v>
      </c>
      <c r="AP14" s="575">
        <v>1</v>
      </c>
      <c r="AQ14" s="580">
        <v>10</v>
      </c>
      <c r="AR14" s="622">
        <f t="shared" si="4"/>
        <v>0.1196</v>
      </c>
      <c r="AS14" s="623">
        <f t="shared" si="5"/>
        <v>0.1345</v>
      </c>
      <c r="AT14" s="624">
        <f aca="true" t="shared" si="8" ref="AT14:AT19">AR14+AS14</f>
        <v>0.2541</v>
      </c>
      <c r="AU14" s="638">
        <v>1</v>
      </c>
      <c r="AY14" s="670">
        <v>1.25</v>
      </c>
      <c r="AZ14" s="668">
        <v>16</v>
      </c>
      <c r="BA14" s="98">
        <v>1</v>
      </c>
      <c r="BB14" s="98">
        <v>1.375</v>
      </c>
      <c r="BC14" s="98">
        <v>12</v>
      </c>
    </row>
    <row r="15" spans="1:55" ht="12.75">
      <c r="A15" s="87" t="s">
        <v>139</v>
      </c>
      <c r="B15" s="88" t="s">
        <v>56</v>
      </c>
      <c r="C15" s="214"/>
      <c r="D15" s="216"/>
      <c r="E15" s="591" t="s">
        <v>362</v>
      </c>
      <c r="F15" s="420" t="s">
        <v>312</v>
      </c>
      <c r="G15" s="421">
        <f>IF(G12-D29-D48-G13&gt;0,G12-D29-D48-G13,0)</f>
        <v>5.229618814908545</v>
      </c>
      <c r="H15" s="225"/>
      <c r="I15" s="3"/>
      <c r="N15" s="646">
        <v>4</v>
      </c>
      <c r="O15" s="681">
        <v>1.25</v>
      </c>
      <c r="P15" s="579">
        <v>16</v>
      </c>
      <c r="Q15" s="580">
        <v>2</v>
      </c>
      <c r="R15" s="575">
        <v>1.375</v>
      </c>
      <c r="S15" s="580">
        <v>10</v>
      </c>
      <c r="T15" s="601">
        <f t="shared" si="0"/>
        <v>0.16444999999999999</v>
      </c>
      <c r="U15" s="603">
        <f t="shared" si="1"/>
        <v>0.16812500000000002</v>
      </c>
      <c r="V15" s="603">
        <f t="shared" si="6"/>
        <v>0.332575</v>
      </c>
      <c r="W15" s="638">
        <v>2</v>
      </c>
      <c r="X15" s="594">
        <v>9</v>
      </c>
      <c r="Y15" s="191">
        <v>0.1495</v>
      </c>
      <c r="AA15" s="2">
        <v>4</v>
      </c>
      <c r="AB15" s="564">
        <v>1.25</v>
      </c>
      <c r="AC15" s="579">
        <v>16</v>
      </c>
      <c r="AD15" s="580">
        <v>2</v>
      </c>
      <c r="AE15" s="575">
        <v>1.375</v>
      </c>
      <c r="AF15" s="580">
        <v>10</v>
      </c>
      <c r="AG15" s="601">
        <f t="shared" si="2"/>
        <v>0.16444999999999999</v>
      </c>
      <c r="AH15" s="602">
        <f t="shared" si="3"/>
        <v>0.16812500000000002</v>
      </c>
      <c r="AI15" s="603">
        <f t="shared" si="7"/>
        <v>0.332575</v>
      </c>
      <c r="AJ15" s="638">
        <v>2</v>
      </c>
      <c r="AK15" s="633"/>
      <c r="AL15" s="2">
        <v>4</v>
      </c>
      <c r="AM15" s="564">
        <v>1.25</v>
      </c>
      <c r="AN15" s="579">
        <v>16</v>
      </c>
      <c r="AO15" s="580">
        <v>2</v>
      </c>
      <c r="AP15" s="575">
        <v>1.375</v>
      </c>
      <c r="AQ15" s="580">
        <v>10</v>
      </c>
      <c r="AR15" s="622">
        <f t="shared" si="4"/>
        <v>0.16444999999999999</v>
      </c>
      <c r="AS15" s="623">
        <f t="shared" si="5"/>
        <v>0.16812500000000002</v>
      </c>
      <c r="AT15" s="624">
        <f t="shared" si="8"/>
        <v>0.332575</v>
      </c>
      <c r="AU15" s="638">
        <v>2</v>
      </c>
      <c r="AY15" s="669">
        <v>1.5</v>
      </c>
      <c r="AZ15" s="668">
        <v>16</v>
      </c>
      <c r="BA15" s="98">
        <v>1</v>
      </c>
      <c r="BB15" s="98">
        <v>1.375</v>
      </c>
      <c r="BC15" s="98">
        <v>12</v>
      </c>
    </row>
    <row r="16" spans="1:55" ht="13.5" thickBot="1">
      <c r="A16" s="91" t="s">
        <v>331</v>
      </c>
      <c r="C16" s="214"/>
      <c r="D16" s="216"/>
      <c r="F16" s="342" t="s">
        <v>262</v>
      </c>
      <c r="G16" s="350">
        <f>IF(OR(G13=0,(G15=0)),0,IF((G12-D29)&lt;=0," ",G14/G15))</f>
        <v>4.589244617902367</v>
      </c>
      <c r="H16" s="225"/>
      <c r="I16" s="3"/>
      <c r="N16" s="646">
        <v>5</v>
      </c>
      <c r="O16" s="681">
        <v>1.5</v>
      </c>
      <c r="P16" s="579">
        <v>16</v>
      </c>
      <c r="Q16" s="580">
        <v>2</v>
      </c>
      <c r="R16" s="575">
        <v>1.5</v>
      </c>
      <c r="S16" s="580">
        <v>12</v>
      </c>
      <c r="T16" s="601">
        <f t="shared" si="0"/>
        <v>0.1794</v>
      </c>
      <c r="U16" s="603">
        <f t="shared" si="1"/>
        <v>0.15689999999999998</v>
      </c>
      <c r="V16" s="603">
        <f t="shared" si="6"/>
        <v>0.3363</v>
      </c>
      <c r="W16" s="638">
        <v>2</v>
      </c>
      <c r="X16" s="594">
        <v>8</v>
      </c>
      <c r="Y16" s="191">
        <v>0.1644</v>
      </c>
      <c r="AA16" s="2">
        <v>5</v>
      </c>
      <c r="AB16" s="564">
        <v>1.5</v>
      </c>
      <c r="AC16" s="579">
        <v>16</v>
      </c>
      <c r="AD16" s="580">
        <v>2</v>
      </c>
      <c r="AE16" s="575">
        <v>1.5</v>
      </c>
      <c r="AF16" s="580">
        <v>12</v>
      </c>
      <c r="AG16" s="601">
        <f t="shared" si="2"/>
        <v>0.1794</v>
      </c>
      <c r="AH16" s="602">
        <f t="shared" si="3"/>
        <v>0.15689999999999998</v>
      </c>
      <c r="AI16" s="603">
        <f t="shared" si="7"/>
        <v>0.3363</v>
      </c>
      <c r="AJ16" s="638">
        <v>2</v>
      </c>
      <c r="AK16" s="633"/>
      <c r="AL16" s="2">
        <v>5</v>
      </c>
      <c r="AM16" s="564">
        <v>1.5</v>
      </c>
      <c r="AN16" s="579">
        <v>16</v>
      </c>
      <c r="AO16" s="580">
        <v>2</v>
      </c>
      <c r="AP16" s="575">
        <v>1.5</v>
      </c>
      <c r="AQ16" s="580">
        <v>10</v>
      </c>
      <c r="AR16" s="622">
        <f t="shared" si="4"/>
        <v>0.1794</v>
      </c>
      <c r="AS16" s="623">
        <f t="shared" si="5"/>
        <v>0.20175</v>
      </c>
      <c r="AT16" s="624">
        <f t="shared" si="8"/>
        <v>0.38115</v>
      </c>
      <c r="AU16" s="638">
        <v>2</v>
      </c>
      <c r="AY16" s="669">
        <v>2</v>
      </c>
      <c r="AZ16" s="668">
        <v>16</v>
      </c>
      <c r="BA16" s="98">
        <v>1</v>
      </c>
      <c r="BB16" s="671">
        <v>2.125</v>
      </c>
      <c r="BC16" s="98">
        <v>12</v>
      </c>
    </row>
    <row r="17" spans="1:55" ht="16.5" customHeight="1" thickBot="1">
      <c r="A17" s="499" t="s">
        <v>339</v>
      </c>
      <c r="B17" s="88" t="s">
        <v>56</v>
      </c>
      <c r="C17" s="427"/>
      <c r="D17" s="216"/>
      <c r="E17" s="294"/>
      <c r="F17" s="225"/>
      <c r="G17" s="225"/>
      <c r="H17" s="225"/>
      <c r="I17" s="583" t="s">
        <v>367</v>
      </c>
      <c r="J17" s="584"/>
      <c r="K17" s="584"/>
      <c r="L17" s="584"/>
      <c r="M17" s="584"/>
      <c r="N17" s="646">
        <v>6</v>
      </c>
      <c r="O17" s="680">
        <v>2.125</v>
      </c>
      <c r="P17" s="579">
        <v>16</v>
      </c>
      <c r="Q17" s="580">
        <v>1</v>
      </c>
      <c r="R17" s="575">
        <v>2.25</v>
      </c>
      <c r="S17" s="580">
        <v>12</v>
      </c>
      <c r="T17" s="601">
        <f t="shared" si="0"/>
        <v>0.13455</v>
      </c>
      <c r="U17" s="603">
        <f t="shared" si="1"/>
        <v>0.222275</v>
      </c>
      <c r="V17" s="603">
        <f t="shared" si="6"/>
        <v>0.356825</v>
      </c>
      <c r="W17" s="638">
        <v>2</v>
      </c>
      <c r="X17" s="595">
        <v>7</v>
      </c>
      <c r="Y17" s="599">
        <v>0.1793</v>
      </c>
      <c r="AA17" s="2">
        <v>6</v>
      </c>
      <c r="AB17" s="563">
        <v>2.125</v>
      </c>
      <c r="AC17" s="579">
        <v>16</v>
      </c>
      <c r="AD17" s="580">
        <v>1</v>
      </c>
      <c r="AE17" s="575">
        <v>2.25</v>
      </c>
      <c r="AF17" s="580">
        <v>12</v>
      </c>
      <c r="AG17" s="601">
        <f t="shared" si="2"/>
        <v>0.13455</v>
      </c>
      <c r="AH17" s="602">
        <f t="shared" si="3"/>
        <v>0.222275</v>
      </c>
      <c r="AI17" s="603">
        <f t="shared" si="7"/>
        <v>0.356825</v>
      </c>
      <c r="AJ17" s="638">
        <v>2</v>
      </c>
      <c r="AK17" s="633"/>
      <c r="AL17" s="2">
        <v>6</v>
      </c>
      <c r="AM17" s="564">
        <v>2</v>
      </c>
      <c r="AN17" s="579">
        <v>16</v>
      </c>
      <c r="AO17" s="580">
        <v>1</v>
      </c>
      <c r="AP17" s="575">
        <v>2.125</v>
      </c>
      <c r="AQ17" s="580">
        <v>10</v>
      </c>
      <c r="AR17" s="622">
        <f t="shared" si="4"/>
        <v>0.127075</v>
      </c>
      <c r="AS17" s="623">
        <f t="shared" si="5"/>
        <v>0.269</v>
      </c>
      <c r="AT17" s="624">
        <f t="shared" si="8"/>
        <v>0.396075</v>
      </c>
      <c r="AU17" s="638">
        <v>2</v>
      </c>
      <c r="AY17" s="669">
        <v>2.5</v>
      </c>
      <c r="AZ17" s="668">
        <v>16</v>
      </c>
      <c r="BA17" s="98">
        <v>1</v>
      </c>
      <c r="BB17" s="98">
        <v>2.5</v>
      </c>
      <c r="BC17" s="98">
        <v>16</v>
      </c>
    </row>
    <row r="18" spans="1:55" ht="12.75">
      <c r="A18" s="498" t="s">
        <v>338</v>
      </c>
      <c r="B18" s="88" t="s">
        <v>56</v>
      </c>
      <c r="C18" s="536"/>
      <c r="D18" s="216"/>
      <c r="E18" s="549" t="s">
        <v>109</v>
      </c>
      <c r="F18" s="343" t="s">
        <v>363</v>
      </c>
      <c r="G18" s="225"/>
      <c r="H18" s="225"/>
      <c r="I18" s="3"/>
      <c r="N18" s="646">
        <v>7</v>
      </c>
      <c r="O18" s="680">
        <v>2.5</v>
      </c>
      <c r="P18" s="579">
        <v>16</v>
      </c>
      <c r="Q18" s="580">
        <v>2</v>
      </c>
      <c r="R18" s="575">
        <v>2.5</v>
      </c>
      <c r="S18" s="580">
        <v>16</v>
      </c>
      <c r="T18" s="601">
        <f t="shared" si="0"/>
        <v>0.299</v>
      </c>
      <c r="U18" s="603">
        <f t="shared" si="1"/>
        <v>0.1495</v>
      </c>
      <c r="V18" s="603">
        <f t="shared" si="6"/>
        <v>0.4485</v>
      </c>
      <c r="W18" s="638">
        <v>2</v>
      </c>
      <c r="AA18" s="2">
        <v>7</v>
      </c>
      <c r="AB18" s="563">
        <v>2.625</v>
      </c>
      <c r="AC18" s="579">
        <v>16</v>
      </c>
      <c r="AD18" s="580">
        <v>4</v>
      </c>
      <c r="AE18" s="575">
        <v>0.6875</v>
      </c>
      <c r="AF18" s="580">
        <v>14</v>
      </c>
      <c r="AG18" s="601">
        <f t="shared" si="2"/>
        <v>0.16444999999999999</v>
      </c>
      <c r="AH18" s="602">
        <f t="shared" si="3"/>
        <v>0.1960875</v>
      </c>
      <c r="AI18" s="603">
        <f t="shared" si="7"/>
        <v>0.36053749999999996</v>
      </c>
      <c r="AJ18" s="638">
        <v>2</v>
      </c>
      <c r="AK18" s="633"/>
      <c r="AL18" s="2">
        <v>7</v>
      </c>
      <c r="AM18" s="564">
        <v>2.5</v>
      </c>
      <c r="AN18" s="579">
        <v>16</v>
      </c>
      <c r="AO18" s="580">
        <v>4</v>
      </c>
      <c r="AP18" s="575">
        <v>0.6875</v>
      </c>
      <c r="AQ18" s="580">
        <v>12</v>
      </c>
      <c r="AR18" s="622">
        <f t="shared" si="4"/>
        <v>0.16444999999999999</v>
      </c>
      <c r="AS18" s="623">
        <f t="shared" si="5"/>
        <v>0.2615</v>
      </c>
      <c r="AT18" s="624">
        <f t="shared" si="8"/>
        <v>0.42595</v>
      </c>
      <c r="AU18" s="638">
        <v>2</v>
      </c>
      <c r="AY18" s="669">
        <v>3</v>
      </c>
      <c r="AZ18" s="668">
        <v>16</v>
      </c>
      <c r="BA18" s="98">
        <v>1</v>
      </c>
      <c r="BB18" s="98">
        <v>3</v>
      </c>
      <c r="BC18" s="98">
        <v>16</v>
      </c>
    </row>
    <row r="19" spans="1:55" ht="12.75">
      <c r="A19" s="501" t="s">
        <v>341</v>
      </c>
      <c r="B19" s="88" t="s">
        <v>56</v>
      </c>
      <c r="C19" s="213"/>
      <c r="D19" s="216"/>
      <c r="E19" s="549" t="s">
        <v>362</v>
      </c>
      <c r="F19" s="343" t="s">
        <v>313</v>
      </c>
      <c r="G19" s="225"/>
      <c r="H19" s="225"/>
      <c r="I19" s="3"/>
      <c r="N19" s="646">
        <v>8</v>
      </c>
      <c r="O19" s="681">
        <v>3</v>
      </c>
      <c r="P19" s="579">
        <v>16</v>
      </c>
      <c r="Q19" s="580">
        <v>4</v>
      </c>
      <c r="R19" s="575">
        <v>0.688</v>
      </c>
      <c r="S19" s="580">
        <v>14</v>
      </c>
      <c r="T19" s="601">
        <f t="shared" si="0"/>
        <v>0.16456959999999998</v>
      </c>
      <c r="U19" s="603">
        <f t="shared" si="1"/>
        <v>0.22410000000000002</v>
      </c>
      <c r="V19" s="603">
        <f t="shared" si="6"/>
        <v>0.3886696</v>
      </c>
      <c r="W19" s="638">
        <v>2</v>
      </c>
      <c r="AA19" s="2">
        <v>8</v>
      </c>
      <c r="AB19" s="564">
        <v>3</v>
      </c>
      <c r="AC19" s="579">
        <v>16</v>
      </c>
      <c r="AD19" s="580">
        <v>4</v>
      </c>
      <c r="AE19" s="575">
        <v>0.688</v>
      </c>
      <c r="AF19" s="580">
        <v>14</v>
      </c>
      <c r="AG19" s="601">
        <f t="shared" si="2"/>
        <v>0.16456959999999998</v>
      </c>
      <c r="AH19" s="602">
        <f t="shared" si="3"/>
        <v>0.22410000000000002</v>
      </c>
      <c r="AI19" s="603">
        <f t="shared" si="7"/>
        <v>0.3886696</v>
      </c>
      <c r="AJ19" s="638">
        <v>2</v>
      </c>
      <c r="AK19" s="633"/>
      <c r="AL19" s="2">
        <v>8</v>
      </c>
      <c r="AM19" s="564">
        <v>3</v>
      </c>
      <c r="AN19" s="579">
        <v>16</v>
      </c>
      <c r="AO19" s="580">
        <v>4</v>
      </c>
      <c r="AP19" s="575">
        <v>0.688</v>
      </c>
      <c r="AQ19" s="580">
        <v>12</v>
      </c>
      <c r="AR19" s="622">
        <f t="shared" si="4"/>
        <v>0.16456959999999998</v>
      </c>
      <c r="AS19" s="623">
        <f t="shared" si="5"/>
        <v>0.31379999999999997</v>
      </c>
      <c r="AT19" s="624">
        <f t="shared" si="8"/>
        <v>0.47836959999999995</v>
      </c>
      <c r="AU19" s="638">
        <v>2</v>
      </c>
      <c r="AY19" s="669">
        <v>3.5</v>
      </c>
      <c r="AZ19" s="668">
        <v>16</v>
      </c>
      <c r="BA19" s="98">
        <v>1</v>
      </c>
      <c r="BB19" s="98">
        <v>3.5</v>
      </c>
      <c r="BC19" s="98">
        <v>16</v>
      </c>
    </row>
    <row r="20" spans="1:55" ht="12.75">
      <c r="A20" s="502" t="s">
        <v>342</v>
      </c>
      <c r="B20" s="88" t="s">
        <v>56</v>
      </c>
      <c r="C20" s="213">
        <v>222</v>
      </c>
      <c r="D20" s="216"/>
      <c r="E20" s="294"/>
      <c r="F20" s="225"/>
      <c r="G20" s="225"/>
      <c r="H20" s="225"/>
      <c r="I20" s="3"/>
      <c r="N20" s="646">
        <v>9</v>
      </c>
      <c r="O20" s="680">
        <v>3.625</v>
      </c>
      <c r="P20" s="579">
        <v>16</v>
      </c>
      <c r="Q20" s="580">
        <v>1</v>
      </c>
      <c r="R20" s="575">
        <v>3.75</v>
      </c>
      <c r="S20" s="580">
        <v>14</v>
      </c>
      <c r="T20" s="601">
        <f t="shared" si="0"/>
        <v>0.22425</v>
      </c>
      <c r="U20" s="603">
        <f t="shared" si="1"/>
        <v>0.2707875</v>
      </c>
      <c r="V20" s="603">
        <f>T20+U20</f>
        <v>0.4950375</v>
      </c>
      <c r="W20" s="638">
        <v>3</v>
      </c>
      <c r="AA20" s="2">
        <v>9</v>
      </c>
      <c r="AB20" s="563">
        <v>3.625</v>
      </c>
      <c r="AC20" s="579">
        <v>16</v>
      </c>
      <c r="AD20" s="580">
        <v>1</v>
      </c>
      <c r="AE20" s="575">
        <v>3.75</v>
      </c>
      <c r="AF20" s="580">
        <v>14</v>
      </c>
      <c r="AG20" s="601">
        <f t="shared" si="2"/>
        <v>0.22425</v>
      </c>
      <c r="AH20" s="602">
        <f t="shared" si="3"/>
        <v>0.2707875</v>
      </c>
      <c r="AI20" s="603">
        <f>AG20+AH20</f>
        <v>0.4950375</v>
      </c>
      <c r="AJ20" s="638">
        <v>3</v>
      </c>
      <c r="AK20" s="633"/>
      <c r="AL20" s="2">
        <v>9</v>
      </c>
      <c r="AM20" s="564">
        <v>3.5</v>
      </c>
      <c r="AN20" s="579">
        <v>16</v>
      </c>
      <c r="AO20" s="580">
        <v>1</v>
      </c>
      <c r="AP20" s="575">
        <v>3.6875</v>
      </c>
      <c r="AQ20" s="580">
        <v>14</v>
      </c>
      <c r="AR20" s="622">
        <f t="shared" si="4"/>
        <v>0.2205125</v>
      </c>
      <c r="AS20" s="623">
        <f t="shared" si="5"/>
        <v>0.26145</v>
      </c>
      <c r="AT20" s="624">
        <f>AR20+AS20</f>
        <v>0.4819625</v>
      </c>
      <c r="AU20" s="638">
        <v>3</v>
      </c>
      <c r="AY20" s="669">
        <v>4</v>
      </c>
      <c r="AZ20" s="668">
        <v>16</v>
      </c>
      <c r="BA20" s="98">
        <v>1</v>
      </c>
      <c r="BB20" s="98">
        <v>4</v>
      </c>
      <c r="BC20" s="98">
        <v>16</v>
      </c>
    </row>
    <row r="21" spans="1:55" ht="12.75">
      <c r="A21" s="500" t="s">
        <v>340</v>
      </c>
      <c r="B21" s="426" t="s">
        <v>56</v>
      </c>
      <c r="C21" s="507"/>
      <c r="D21" s="216"/>
      <c r="E21" s="294"/>
      <c r="F21" s="225"/>
      <c r="G21" s="225"/>
      <c r="H21" s="225"/>
      <c r="I21" s="3"/>
      <c r="N21" s="646">
        <v>10</v>
      </c>
      <c r="O21" s="681">
        <v>4</v>
      </c>
      <c r="P21" s="579">
        <v>16</v>
      </c>
      <c r="Q21" s="580">
        <v>1</v>
      </c>
      <c r="R21" s="575">
        <v>4</v>
      </c>
      <c r="S21" s="580">
        <v>16</v>
      </c>
      <c r="T21" s="601">
        <f t="shared" si="0"/>
        <v>0.2392</v>
      </c>
      <c r="U21" s="603">
        <f t="shared" si="1"/>
        <v>0.2392</v>
      </c>
      <c r="V21" s="603">
        <f>T21+U21</f>
        <v>0.4784</v>
      </c>
      <c r="W21" s="638">
        <v>3</v>
      </c>
      <c r="AA21" s="2">
        <v>10</v>
      </c>
      <c r="AB21" s="564">
        <v>4</v>
      </c>
      <c r="AC21" s="579">
        <v>16</v>
      </c>
      <c r="AD21" s="580">
        <v>1</v>
      </c>
      <c r="AE21" s="575">
        <v>4</v>
      </c>
      <c r="AF21" s="580">
        <v>16</v>
      </c>
      <c r="AG21" s="601">
        <f t="shared" si="2"/>
        <v>0.2392</v>
      </c>
      <c r="AH21" s="602">
        <f t="shared" si="3"/>
        <v>0.2392</v>
      </c>
      <c r="AI21" s="603">
        <f>AG21+AH21</f>
        <v>0.4784</v>
      </c>
      <c r="AJ21" s="638">
        <v>3</v>
      </c>
      <c r="AK21" s="633"/>
      <c r="AL21" s="2">
        <v>10</v>
      </c>
      <c r="AM21" s="564">
        <v>4</v>
      </c>
      <c r="AN21" s="579">
        <v>16</v>
      </c>
      <c r="AO21" s="580">
        <v>1</v>
      </c>
      <c r="AP21" s="575">
        <v>4</v>
      </c>
      <c r="AQ21" s="580">
        <v>16</v>
      </c>
      <c r="AR21" s="622">
        <f t="shared" si="4"/>
        <v>0.2392</v>
      </c>
      <c r="AS21" s="623">
        <f t="shared" si="5"/>
        <v>0.2392</v>
      </c>
      <c r="AT21" s="624">
        <f>AR21+AS21</f>
        <v>0.4784</v>
      </c>
      <c r="AU21" s="638">
        <v>3</v>
      </c>
      <c r="AY21" s="669">
        <v>4.5</v>
      </c>
      <c r="AZ21" s="668">
        <v>16</v>
      </c>
      <c r="BA21" s="98">
        <v>4</v>
      </c>
      <c r="BB21" s="98">
        <v>1</v>
      </c>
      <c r="BC21" s="98">
        <v>16</v>
      </c>
    </row>
    <row r="22" spans="1:55" ht="12.75">
      <c r="A22" s="87" t="s">
        <v>58</v>
      </c>
      <c r="B22" s="88" t="s">
        <v>56</v>
      </c>
      <c r="C22" s="213"/>
      <c r="D22" s="216"/>
      <c r="E22" s="294"/>
      <c r="F22" s="225"/>
      <c r="G22" s="225"/>
      <c r="H22" s="225"/>
      <c r="N22" s="646">
        <v>11</v>
      </c>
      <c r="O22" s="680">
        <v>4.625</v>
      </c>
      <c r="P22" s="579">
        <v>16</v>
      </c>
      <c r="Q22" s="580">
        <v>3</v>
      </c>
      <c r="R22" s="575">
        <v>0.6875</v>
      </c>
      <c r="S22" s="580">
        <v>16</v>
      </c>
      <c r="T22" s="601">
        <f t="shared" si="0"/>
        <v>0.1233375</v>
      </c>
      <c r="U22" s="603">
        <f t="shared" si="1"/>
        <v>0.276575</v>
      </c>
      <c r="V22" s="603">
        <f>T22+U22</f>
        <v>0.3999125</v>
      </c>
      <c r="W22" s="638">
        <v>3</v>
      </c>
      <c r="AA22" s="2">
        <v>11</v>
      </c>
      <c r="AB22" s="563">
        <v>4.625</v>
      </c>
      <c r="AC22" s="579">
        <v>16</v>
      </c>
      <c r="AD22" s="580">
        <v>3</v>
      </c>
      <c r="AE22" s="575">
        <v>0.6875</v>
      </c>
      <c r="AF22" s="580">
        <v>16</v>
      </c>
      <c r="AG22" s="601">
        <f t="shared" si="2"/>
        <v>0.1233375</v>
      </c>
      <c r="AH22" s="602">
        <f t="shared" si="3"/>
        <v>0.276575</v>
      </c>
      <c r="AI22" s="603">
        <f>AG22+AH22</f>
        <v>0.3999125</v>
      </c>
      <c r="AJ22" s="638">
        <v>3</v>
      </c>
      <c r="AK22" s="633"/>
      <c r="AL22" s="2">
        <v>11</v>
      </c>
      <c r="AM22" s="564">
        <v>4.5</v>
      </c>
      <c r="AN22" s="579">
        <v>16</v>
      </c>
      <c r="AO22" s="580">
        <v>3</v>
      </c>
      <c r="AP22" s="575">
        <v>0.6875</v>
      </c>
      <c r="AQ22" s="580">
        <v>16</v>
      </c>
      <c r="AR22" s="622">
        <f t="shared" si="4"/>
        <v>0.1233375</v>
      </c>
      <c r="AS22" s="623">
        <f t="shared" si="5"/>
        <v>0.2691</v>
      </c>
      <c r="AT22" s="624">
        <f>AR22+AS22</f>
        <v>0.3924375</v>
      </c>
      <c r="AU22" s="638">
        <v>3</v>
      </c>
      <c r="AY22" s="669">
        <v>5</v>
      </c>
      <c r="AZ22" s="668">
        <v>16</v>
      </c>
      <c r="BA22" s="98">
        <v>4</v>
      </c>
      <c r="BB22" s="98">
        <v>1</v>
      </c>
      <c r="BC22" s="98">
        <v>16</v>
      </c>
    </row>
    <row r="23" spans="1:55" ht="12.75">
      <c r="A23" s="91" t="s">
        <v>60</v>
      </c>
      <c r="B23" s="127" t="s">
        <v>159</v>
      </c>
      <c r="C23" s="214"/>
      <c r="D23" s="216"/>
      <c r="G23" s="3"/>
      <c r="H23" s="3"/>
      <c r="N23" s="646">
        <v>12</v>
      </c>
      <c r="O23" s="681">
        <v>5</v>
      </c>
      <c r="P23" s="579">
        <v>16</v>
      </c>
      <c r="Q23" s="580">
        <v>3</v>
      </c>
      <c r="R23" s="575">
        <v>1</v>
      </c>
      <c r="S23" s="580">
        <v>16</v>
      </c>
      <c r="T23" s="601">
        <f t="shared" si="0"/>
        <v>0.1794</v>
      </c>
      <c r="U23" s="603">
        <f t="shared" si="1"/>
        <v>0.299</v>
      </c>
      <c r="V23" s="603">
        <f>T23+U23</f>
        <v>0.4784</v>
      </c>
      <c r="W23" s="638">
        <v>3</v>
      </c>
      <c r="AA23" s="2">
        <v>12</v>
      </c>
      <c r="AB23" s="564">
        <v>5</v>
      </c>
      <c r="AC23" s="579">
        <v>16</v>
      </c>
      <c r="AD23" s="580">
        <v>3</v>
      </c>
      <c r="AE23" s="575">
        <v>1</v>
      </c>
      <c r="AF23" s="580">
        <v>16</v>
      </c>
      <c r="AG23" s="601">
        <f t="shared" si="2"/>
        <v>0.1794</v>
      </c>
      <c r="AH23" s="602">
        <f t="shared" si="3"/>
        <v>0.299</v>
      </c>
      <c r="AI23" s="603">
        <f>AG23+AH23</f>
        <v>0.4784</v>
      </c>
      <c r="AJ23" s="638">
        <v>3</v>
      </c>
      <c r="AK23" s="633"/>
      <c r="AL23" s="2">
        <v>12</v>
      </c>
      <c r="AM23" s="564">
        <v>5</v>
      </c>
      <c r="AN23" s="579">
        <v>16</v>
      </c>
      <c r="AO23" s="580">
        <v>3</v>
      </c>
      <c r="AP23" s="575">
        <v>1</v>
      </c>
      <c r="AQ23" s="580">
        <v>16</v>
      </c>
      <c r="AR23" s="622">
        <f t="shared" si="4"/>
        <v>0.1794</v>
      </c>
      <c r="AS23" s="623">
        <f t="shared" si="5"/>
        <v>0.299</v>
      </c>
      <c r="AT23" s="624">
        <f>AR23+AS23</f>
        <v>0.4784</v>
      </c>
      <c r="AU23" s="638">
        <v>3</v>
      </c>
      <c r="AY23" s="669">
        <v>5.5</v>
      </c>
      <c r="AZ23" s="668">
        <v>16</v>
      </c>
      <c r="BA23" s="98">
        <v>4</v>
      </c>
      <c r="BB23" s="98">
        <v>1</v>
      </c>
      <c r="BC23" s="98">
        <v>16</v>
      </c>
    </row>
    <row r="24" spans="1:47" ht="13.5" thickBot="1">
      <c r="A24" s="87" t="s">
        <v>145</v>
      </c>
      <c r="B24" s="88" t="s">
        <v>56</v>
      </c>
      <c r="C24" s="217"/>
      <c r="D24" s="218" t="s">
        <v>109</v>
      </c>
      <c r="E24" s="97"/>
      <c r="F24" s="652"/>
      <c r="G24" s="213"/>
      <c r="N24" s="647">
        <v>13</v>
      </c>
      <c r="O24" s="679">
        <v>5.5</v>
      </c>
      <c r="P24" s="581">
        <v>16</v>
      </c>
      <c r="Q24" s="582">
        <v>4</v>
      </c>
      <c r="R24" s="576">
        <v>1</v>
      </c>
      <c r="S24" s="582">
        <v>16</v>
      </c>
      <c r="T24" s="604">
        <f t="shared" si="0"/>
        <v>0.2392</v>
      </c>
      <c r="U24" s="606">
        <f t="shared" si="1"/>
        <v>0.32889999999999997</v>
      </c>
      <c r="V24" s="606">
        <f>T24+U24</f>
        <v>0.5680999999999999</v>
      </c>
      <c r="W24" s="639">
        <v>4</v>
      </c>
      <c r="AA24" s="2">
        <v>13</v>
      </c>
      <c r="AB24" s="565">
        <v>5.5</v>
      </c>
      <c r="AC24" s="581">
        <v>16</v>
      </c>
      <c r="AD24" s="582">
        <v>4</v>
      </c>
      <c r="AE24" s="576">
        <v>1</v>
      </c>
      <c r="AF24" s="582">
        <v>16</v>
      </c>
      <c r="AG24" s="604">
        <f t="shared" si="2"/>
        <v>0.2392</v>
      </c>
      <c r="AH24" s="605">
        <f t="shared" si="3"/>
        <v>0.32889999999999997</v>
      </c>
      <c r="AI24" s="606">
        <f>AG24+AH24</f>
        <v>0.5680999999999999</v>
      </c>
      <c r="AJ24" s="639">
        <v>4</v>
      </c>
      <c r="AK24" s="633"/>
      <c r="AL24" s="2">
        <v>13</v>
      </c>
      <c r="AM24" s="565">
        <v>5.5</v>
      </c>
      <c r="AN24" s="581">
        <v>16</v>
      </c>
      <c r="AO24" s="582">
        <v>4</v>
      </c>
      <c r="AP24" s="576">
        <v>1</v>
      </c>
      <c r="AQ24" s="582">
        <v>16</v>
      </c>
      <c r="AR24" s="625">
        <f t="shared" si="4"/>
        <v>0.2392</v>
      </c>
      <c r="AS24" s="626">
        <f t="shared" si="5"/>
        <v>0.32889999999999997</v>
      </c>
      <c r="AT24" s="627">
        <f>AR24+AS24</f>
        <v>0.5680999999999999</v>
      </c>
      <c r="AU24" s="639">
        <v>4</v>
      </c>
    </row>
    <row r="25" spans="1:38" ht="12.75">
      <c r="A25" s="87" t="s">
        <v>141</v>
      </c>
      <c r="B25" s="88" t="s">
        <v>56</v>
      </c>
      <c r="C25" s="211"/>
      <c r="D25" s="216"/>
      <c r="E25" s="95"/>
      <c r="F25" s="652"/>
      <c r="G25" s="21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2.75">
      <c r="A26" s="87" t="s">
        <v>146</v>
      </c>
      <c r="B26" s="88" t="s">
        <v>56</v>
      </c>
      <c r="C26" s="211"/>
      <c r="D26" s="216"/>
      <c r="E26" s="95"/>
      <c r="F26" s="652"/>
      <c r="G26" s="21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2.75">
      <c r="A27" s="87" t="s">
        <v>142</v>
      </c>
      <c r="B27" s="88" t="s">
        <v>56</v>
      </c>
      <c r="C27" s="211"/>
      <c r="D27" s="216"/>
      <c r="E27" s="95"/>
      <c r="G27" s="2"/>
      <c r="AB27" s="628"/>
      <c r="AC27" s="629"/>
      <c r="AD27" s="629"/>
      <c r="AE27" s="629"/>
      <c r="AF27" s="629"/>
      <c r="AG27" s="629"/>
      <c r="AH27" s="629"/>
      <c r="AI27" s="629"/>
      <c r="AJ27" s="95"/>
      <c r="AK27" s="95"/>
      <c r="AL27" s="3"/>
    </row>
    <row r="28" spans="1:38" ht="12.75">
      <c r="A28" s="87" t="s">
        <v>360</v>
      </c>
      <c r="B28" s="88" t="s">
        <v>56</v>
      </c>
      <c r="C28" s="213"/>
      <c r="D28" s="216"/>
      <c r="E28" s="95"/>
      <c r="G28" s="2"/>
      <c r="AB28" s="630"/>
      <c r="AC28" s="630"/>
      <c r="AD28" s="630"/>
      <c r="AE28" s="630"/>
      <c r="AF28" s="630"/>
      <c r="AG28" s="630"/>
      <c r="AH28" s="630"/>
      <c r="AI28" s="630"/>
      <c r="AJ28" s="115"/>
      <c r="AK28" s="115"/>
      <c r="AL28" s="3"/>
    </row>
    <row r="29" spans="1:38" ht="12.75">
      <c r="A29" s="87" t="s">
        <v>144</v>
      </c>
      <c r="B29" s="88" t="s">
        <v>56</v>
      </c>
      <c r="C29" s="219"/>
      <c r="D29" s="216">
        <v>4.276263538032631</v>
      </c>
      <c r="E29" s="346"/>
      <c r="F29" s="348"/>
      <c r="G29" s="656"/>
      <c r="H29" s="348"/>
      <c r="AB29" s="631"/>
      <c r="AC29" s="632"/>
      <c r="AD29" s="633"/>
      <c r="AE29" s="634"/>
      <c r="AF29" s="633"/>
      <c r="AG29" s="635"/>
      <c r="AH29" s="636"/>
      <c r="AI29" s="636"/>
      <c r="AJ29" s="633"/>
      <c r="AK29" s="633"/>
      <c r="AL29" s="3"/>
    </row>
    <row r="30" spans="1:38" ht="12.75">
      <c r="A30" s="91" t="s">
        <v>108</v>
      </c>
      <c r="B30" s="91"/>
      <c r="C30" s="220"/>
      <c r="D30" s="216"/>
      <c r="E30" s="216"/>
      <c r="F30" s="653"/>
      <c r="G30" s="657"/>
      <c r="H30" s="346"/>
      <c r="AB30" s="631"/>
      <c r="AC30" s="632"/>
      <c r="AD30" s="633"/>
      <c r="AE30" s="634"/>
      <c r="AF30" s="633"/>
      <c r="AG30" s="635"/>
      <c r="AH30" s="636"/>
      <c r="AI30" s="636"/>
      <c r="AJ30" s="633"/>
      <c r="AK30" s="633"/>
      <c r="AL30" s="3"/>
    </row>
    <row r="31" spans="1:38" ht="12.75">
      <c r="A31" s="87" t="s">
        <v>147</v>
      </c>
      <c r="B31" s="88" t="s">
        <v>56</v>
      </c>
      <c r="C31" s="217"/>
      <c r="D31" s="218"/>
      <c r="E31" s="216"/>
      <c r="F31" s="653"/>
      <c r="G31" s="657"/>
      <c r="H31" s="346"/>
      <c r="AB31" s="637"/>
      <c r="AC31" s="632"/>
      <c r="AD31" s="633"/>
      <c r="AE31" s="634"/>
      <c r="AF31" s="633"/>
      <c r="AG31" s="635"/>
      <c r="AH31" s="636"/>
      <c r="AI31" s="636"/>
      <c r="AJ31" s="633"/>
      <c r="AK31" s="633"/>
      <c r="AL31" s="3"/>
    </row>
    <row r="32" spans="1:38" ht="12.75">
      <c r="A32" s="87" t="s">
        <v>148</v>
      </c>
      <c r="B32" s="88" t="s">
        <v>56</v>
      </c>
      <c r="C32" s="212"/>
      <c r="D32" s="218"/>
      <c r="E32" s="216"/>
      <c r="F32" s="654"/>
      <c r="G32" s="658"/>
      <c r="H32" s="129"/>
      <c r="AB32" s="637"/>
      <c r="AC32" s="632"/>
      <c r="AD32" s="633"/>
      <c r="AE32" s="634"/>
      <c r="AF32" s="633"/>
      <c r="AG32" s="635"/>
      <c r="AH32" s="636"/>
      <c r="AI32" s="636"/>
      <c r="AJ32" s="633"/>
      <c r="AK32" s="633"/>
      <c r="AL32" s="3"/>
    </row>
    <row r="33" spans="1:38" ht="18">
      <c r="A33" s="87" t="s">
        <v>149</v>
      </c>
      <c r="B33" s="88" t="s">
        <v>56</v>
      </c>
      <c r="C33" s="211"/>
      <c r="D33" s="218"/>
      <c r="E33" s="419"/>
      <c r="F33" s="428"/>
      <c r="G33" s="659"/>
      <c r="H33" s="428"/>
      <c r="AB33" s="637"/>
      <c r="AC33" s="632"/>
      <c r="AD33" s="672"/>
      <c r="AE33" s="634"/>
      <c r="AF33" s="633"/>
      <c r="AG33" s="635"/>
      <c r="AH33" s="636"/>
      <c r="AI33" s="636"/>
      <c r="AJ33" s="633"/>
      <c r="AK33" s="633"/>
      <c r="AL33" s="3"/>
    </row>
    <row r="34" spans="1:38" ht="12.75">
      <c r="A34" s="87" t="s">
        <v>150</v>
      </c>
      <c r="B34" s="92" t="s">
        <v>56</v>
      </c>
      <c r="C34" s="221"/>
      <c r="D34" s="216"/>
      <c r="E34" s="347"/>
      <c r="F34" s="429"/>
      <c r="G34" s="659"/>
      <c r="H34" s="429"/>
      <c r="AB34" s="637"/>
      <c r="AC34" s="632"/>
      <c r="AD34" s="628"/>
      <c r="AE34" s="95"/>
      <c r="AF34" s="95"/>
      <c r="AG34" s="95"/>
      <c r="AH34" s="95"/>
      <c r="AI34" s="636"/>
      <c r="AJ34" s="633"/>
      <c r="AK34" s="633"/>
      <c r="AL34" s="3"/>
    </row>
    <row r="35" spans="1:38" ht="12.75">
      <c r="A35" s="87" t="s">
        <v>151</v>
      </c>
      <c r="B35" s="92" t="s">
        <v>56</v>
      </c>
      <c r="C35" s="213"/>
      <c r="D35" s="216"/>
      <c r="E35" s="95"/>
      <c r="F35" s="430"/>
      <c r="G35" s="431"/>
      <c r="H35" s="430"/>
      <c r="AB35" s="637"/>
      <c r="AC35" s="632"/>
      <c r="AD35" s="673"/>
      <c r="AE35" s="95"/>
      <c r="AF35" s="95"/>
      <c r="AG35" s="95"/>
      <c r="AH35" s="95"/>
      <c r="AI35" s="636"/>
      <c r="AJ35" s="633"/>
      <c r="AK35" s="633"/>
      <c r="AL35" s="3"/>
    </row>
    <row r="36" spans="1:38" ht="12.75" hidden="1">
      <c r="A36" s="91" t="s">
        <v>59</v>
      </c>
      <c r="C36" s="214"/>
      <c r="D36" s="216"/>
      <c r="E36" s="97"/>
      <c r="F36" s="430"/>
      <c r="G36" s="431"/>
      <c r="H36" s="430"/>
      <c r="AB36" s="637"/>
      <c r="AC36" s="632"/>
      <c r="AD36" s="158"/>
      <c r="AE36" s="674"/>
      <c r="AF36" s="95"/>
      <c r="AG36" s="95"/>
      <c r="AH36" s="95"/>
      <c r="AI36" s="636"/>
      <c r="AJ36" s="633"/>
      <c r="AK36" s="633"/>
      <c r="AL36" s="3"/>
    </row>
    <row r="37" spans="1:38" ht="12.75" hidden="1">
      <c r="A37" s="87" t="s">
        <v>152</v>
      </c>
      <c r="B37" s="88" t="s">
        <v>56</v>
      </c>
      <c r="C37" s="222"/>
      <c r="D37" s="216"/>
      <c r="E37" s="95"/>
      <c r="F37" s="430"/>
      <c r="G37" s="431"/>
      <c r="H37" s="430"/>
      <c r="AB37" s="637"/>
      <c r="AC37" s="632"/>
      <c r="AD37" s="675"/>
      <c r="AE37" s="674"/>
      <c r="AF37" s="95"/>
      <c r="AG37" s="95"/>
      <c r="AH37" s="95"/>
      <c r="AI37" s="636"/>
      <c r="AJ37" s="633"/>
      <c r="AK37" s="633"/>
      <c r="AL37" s="3"/>
    </row>
    <row r="38" spans="1:38" ht="12.75" hidden="1">
      <c r="A38" s="87" t="s">
        <v>153</v>
      </c>
      <c r="B38" s="88" t="s">
        <v>56</v>
      </c>
      <c r="C38" s="213"/>
      <c r="D38" s="216"/>
      <c r="E38" s="95"/>
      <c r="F38" s="430"/>
      <c r="G38" s="431"/>
      <c r="H38" s="430"/>
      <c r="AB38" s="637"/>
      <c r="AC38" s="632"/>
      <c r="AD38" s="676"/>
      <c r="AE38" s="674"/>
      <c r="AF38" s="95"/>
      <c r="AG38" s="95"/>
      <c r="AH38" s="95"/>
      <c r="AI38" s="636"/>
      <c r="AJ38" s="633"/>
      <c r="AK38" s="633"/>
      <c r="AL38" s="3"/>
    </row>
    <row r="39" spans="1:38" ht="12.75" hidden="1">
      <c r="A39" s="87" t="s">
        <v>154</v>
      </c>
      <c r="B39" s="88" t="s">
        <v>56</v>
      </c>
      <c r="C39" s="213"/>
      <c r="D39" s="216"/>
      <c r="E39" s="95"/>
      <c r="F39" s="430"/>
      <c r="G39" s="431"/>
      <c r="H39" s="430"/>
      <c r="AB39" s="637"/>
      <c r="AC39" s="632"/>
      <c r="AD39" s="675"/>
      <c r="AE39" s="674"/>
      <c r="AF39" s="95"/>
      <c r="AG39" s="95"/>
      <c r="AH39" s="95"/>
      <c r="AI39" s="636"/>
      <c r="AJ39" s="633"/>
      <c r="AK39" s="633"/>
      <c r="AL39" s="3"/>
    </row>
    <row r="40" spans="1:38" ht="12.75" hidden="1">
      <c r="A40" s="87" t="s">
        <v>155</v>
      </c>
      <c r="B40" s="92" t="s">
        <v>56</v>
      </c>
      <c r="C40" s="213"/>
      <c r="D40" s="216"/>
      <c r="E40" s="95"/>
      <c r="F40" s="430"/>
      <c r="G40" s="431"/>
      <c r="H40" s="430"/>
      <c r="AB40" s="637"/>
      <c r="AC40" s="632"/>
      <c r="AD40" s="675"/>
      <c r="AE40" s="674"/>
      <c r="AF40" s="95"/>
      <c r="AG40" s="677"/>
      <c r="AH40" s="95"/>
      <c r="AI40" s="636"/>
      <c r="AJ40" s="633"/>
      <c r="AK40" s="633"/>
      <c r="AL40" s="3"/>
    </row>
    <row r="41" spans="1:38" ht="12.75" hidden="1">
      <c r="A41" s="87" t="s">
        <v>156</v>
      </c>
      <c r="B41" s="92" t="s">
        <v>56</v>
      </c>
      <c r="C41" s="223"/>
      <c r="D41" s="216"/>
      <c r="E41" s="95"/>
      <c r="F41" s="430"/>
      <c r="G41" s="431"/>
      <c r="H41" s="430"/>
      <c r="AB41" s="637"/>
      <c r="AC41" s="632"/>
      <c r="AD41" s="675"/>
      <c r="AE41" s="674"/>
      <c r="AF41" s="95"/>
      <c r="AG41" s="95"/>
      <c r="AH41" s="95"/>
      <c r="AI41" s="636"/>
      <c r="AJ41" s="633"/>
      <c r="AK41" s="633"/>
      <c r="AL41" s="3"/>
    </row>
    <row r="42" spans="1:38" ht="12.75">
      <c r="A42" s="91" t="s">
        <v>61</v>
      </c>
      <c r="B42" s="128"/>
      <c r="C42" s="214"/>
      <c r="D42" s="216"/>
      <c r="E42" s="97"/>
      <c r="F42" s="652"/>
      <c r="G42" s="213"/>
      <c r="AB42" s="637"/>
      <c r="AC42" s="632"/>
      <c r="AD42" s="675"/>
      <c r="AE42" s="674"/>
      <c r="AF42" s="95"/>
      <c r="AG42" s="95"/>
      <c r="AH42" s="95"/>
      <c r="AI42" s="636"/>
      <c r="AJ42" s="95"/>
      <c r="AK42" s="95"/>
      <c r="AL42" s="3"/>
    </row>
    <row r="43" spans="1:38" ht="12.75">
      <c r="A43" s="87" t="s">
        <v>140</v>
      </c>
      <c r="B43" s="88" t="s">
        <v>56</v>
      </c>
      <c r="C43" s="217"/>
      <c r="D43" s="216"/>
      <c r="E43" s="95"/>
      <c r="F43" s="652"/>
      <c r="G43" s="213"/>
      <c r="AB43" s="637"/>
      <c r="AC43" s="632"/>
      <c r="AD43" s="675"/>
      <c r="AE43" s="674"/>
      <c r="AF43" s="95"/>
      <c r="AG43" s="95"/>
      <c r="AH43" s="95"/>
      <c r="AI43" s="636"/>
      <c r="AJ43" s="95"/>
      <c r="AK43" s="95"/>
      <c r="AL43" s="3"/>
    </row>
    <row r="44" spans="1:38" ht="12.75">
      <c r="A44" s="87" t="s">
        <v>141</v>
      </c>
      <c r="B44" s="88" t="s">
        <v>56</v>
      </c>
      <c r="C44" s="213"/>
      <c r="D44" s="216"/>
      <c r="E44" s="95"/>
      <c r="F44" s="652"/>
      <c r="G44" s="213"/>
      <c r="AB44" s="637"/>
      <c r="AC44" s="632"/>
      <c r="AD44" s="675"/>
      <c r="AE44" s="674"/>
      <c r="AF44" s="95"/>
      <c r="AG44" s="95"/>
      <c r="AH44" s="95"/>
      <c r="AI44" s="636"/>
      <c r="AJ44" s="95"/>
      <c r="AK44" s="95"/>
      <c r="AL44" s="3"/>
    </row>
    <row r="45" spans="1:38" ht="12.75">
      <c r="A45" s="87" t="s">
        <v>143</v>
      </c>
      <c r="B45" s="88" t="s">
        <v>56</v>
      </c>
      <c r="C45" s="213"/>
      <c r="D45" s="216"/>
      <c r="E45" s="95"/>
      <c r="AB45" s="637"/>
      <c r="AC45" s="632"/>
      <c r="AD45" s="675"/>
      <c r="AE45" s="674"/>
      <c r="AF45" s="95"/>
      <c r="AG45" s="95"/>
      <c r="AH45" s="95"/>
      <c r="AI45" s="636"/>
      <c r="AJ45" s="95"/>
      <c r="AK45" s="95"/>
      <c r="AL45" s="3"/>
    </row>
    <row r="46" spans="1:38" ht="12.75">
      <c r="A46" s="87" t="s">
        <v>142</v>
      </c>
      <c r="B46" s="88" t="s">
        <v>56</v>
      </c>
      <c r="C46" s="213"/>
      <c r="D46" s="216"/>
      <c r="E46" s="95"/>
      <c r="H46" s="64"/>
      <c r="AB46" s="637"/>
      <c r="AC46" s="632"/>
      <c r="AD46" s="675"/>
      <c r="AE46" s="674"/>
      <c r="AF46" s="95"/>
      <c r="AG46" s="95"/>
      <c r="AH46" s="95"/>
      <c r="AI46" s="636"/>
      <c r="AJ46" s="95"/>
      <c r="AK46" s="95"/>
      <c r="AL46" s="3"/>
    </row>
    <row r="47" spans="1:38" ht="12.75">
      <c r="A47" s="87" t="s">
        <v>360</v>
      </c>
      <c r="B47" s="88" t="s">
        <v>56</v>
      </c>
      <c r="C47" s="213"/>
      <c r="D47" s="216"/>
      <c r="E47" s="3"/>
      <c r="F47" s="115"/>
      <c r="H47" s="3"/>
      <c r="AB47" s="637"/>
      <c r="AC47" s="632"/>
      <c r="AD47" s="675"/>
      <c r="AE47" s="674"/>
      <c r="AF47" s="95"/>
      <c r="AG47" s="95"/>
      <c r="AH47" s="95"/>
      <c r="AI47" s="636"/>
      <c r="AJ47" s="95"/>
      <c r="AK47" s="95"/>
      <c r="AL47" s="3"/>
    </row>
    <row r="48" spans="1:38" ht="12.75">
      <c r="A48" s="87" t="s">
        <v>173</v>
      </c>
      <c r="B48" s="88" t="s">
        <v>56</v>
      </c>
      <c r="C48" s="213"/>
      <c r="D48" s="216"/>
      <c r="E48" s="3"/>
      <c r="F48" s="95"/>
      <c r="H48" s="3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3"/>
    </row>
    <row r="49" spans="8:38" ht="12.75">
      <c r="H49" s="3"/>
      <c r="J49" s="8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3"/>
    </row>
    <row r="50" spans="1:38" ht="12.75">
      <c r="A50" s="695" t="s">
        <v>110</v>
      </c>
      <c r="B50" s="695"/>
      <c r="C50" s="695"/>
      <c r="D50" s="695"/>
      <c r="E50" s="695"/>
      <c r="F50" s="695"/>
      <c r="G50" s="3"/>
      <c r="H50" s="3"/>
      <c r="I50" s="64"/>
      <c r="J50" s="8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3"/>
    </row>
    <row r="51" spans="8:38" ht="12.75">
      <c r="H51" s="3"/>
      <c r="I51" s="64"/>
      <c r="J51" s="8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8:38" ht="12.75">
      <c r="H52" s="3"/>
      <c r="I52" s="64"/>
      <c r="J52" s="85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ht="12.75"/>
    <row r="54" ht="12.75"/>
    <row r="55" ht="12.75">
      <c r="L55" s="86"/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N71" s="168"/>
    </row>
    <row r="74" ht="12.75">
      <c r="N74" s="167"/>
    </row>
    <row r="77" ht="12.75">
      <c r="N77" s="167"/>
    </row>
    <row r="83" spans="13:14" ht="12.75">
      <c r="M83" s="169"/>
      <c r="N83" s="169"/>
    </row>
  </sheetData>
  <sheetProtection/>
  <mergeCells count="1">
    <mergeCell ref="A50:F50"/>
  </mergeCells>
  <printOptions/>
  <pageMargins left="0.75" right="0.75" top="1" bottom="1" header="0.5" footer="0.5"/>
  <pageSetup horizontalDpi="600" verticalDpi="600" orientation="portrait" r:id="rId2"/>
  <headerFooter alignWithMargins="0">
    <oddHeader>&amp;CARCMATIC Welding Systems</oddHeader>
    <oddFooter>&amp;L&amp;BArcmatic Confidential&amp;B&amp;C&amp;D&amp;RPage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A110"/>
  <sheetViews>
    <sheetView workbookViewId="0" topLeftCell="A4">
      <selection activeCell="A32" sqref="A32"/>
    </sheetView>
  </sheetViews>
  <sheetFormatPr defaultColWidth="9.140625" defaultRowHeight="12.75"/>
  <cols>
    <col min="1" max="1" width="10.421875" style="0" customWidth="1"/>
    <col min="2" max="2" width="7.140625" style="0" customWidth="1"/>
    <col min="3" max="3" width="1.1484375" style="0" customWidth="1"/>
    <col min="5" max="5" width="10.00390625" style="1" customWidth="1"/>
    <col min="6" max="6" width="3.57421875" style="1" customWidth="1"/>
    <col min="7" max="7" width="5.00390625" style="1" customWidth="1"/>
    <col min="8" max="8" width="4.8515625" style="1" customWidth="1"/>
    <col min="9" max="9" width="7.421875" style="2" customWidth="1"/>
    <col min="10" max="10" width="4.421875" style="2" customWidth="1"/>
    <col min="11" max="11" width="7.140625" style="2" customWidth="1"/>
    <col min="12" max="12" width="10.57421875" style="0" customWidth="1"/>
    <col min="13" max="13" width="10.8515625" style="0" customWidth="1"/>
    <col min="14" max="14" width="10.57421875" style="0" customWidth="1"/>
    <col min="15" max="16" width="9.8515625" style="0" customWidth="1"/>
    <col min="17" max="17" width="8.140625" style="0" customWidth="1"/>
    <col min="18" max="18" width="8.00390625" style="0" customWidth="1"/>
    <col min="19" max="19" width="7.140625" style="0" hidden="1" customWidth="1"/>
    <col min="20" max="20" width="8.8515625" style="0" customWidth="1"/>
    <col min="21" max="21" width="7.8515625" style="0" customWidth="1"/>
    <col min="22" max="22" width="8.140625" style="0" customWidth="1"/>
    <col min="23" max="23" width="10.28125" style="0" customWidth="1"/>
    <col min="24" max="25" width="11.7109375" style="0" customWidth="1"/>
    <col min="26" max="26" width="8.140625" style="0" hidden="1" customWidth="1"/>
    <col min="27" max="27" width="8.8515625" style="0" hidden="1" customWidth="1"/>
    <col min="28" max="28" width="6.421875" style="0" customWidth="1"/>
    <col min="29" max="31" width="8.140625" style="0" customWidth="1"/>
    <col min="32" max="32" width="1.57421875" style="0" customWidth="1"/>
    <col min="33" max="33" width="7.8515625" style="0" customWidth="1"/>
    <col min="34" max="34" width="8.421875" style="0" hidden="1" customWidth="1"/>
    <col min="35" max="35" width="9.57421875" style="2" customWidth="1"/>
    <col min="36" max="36" width="11.57421875" style="0" customWidth="1"/>
    <col min="37" max="37" width="9.7109375" style="0" customWidth="1"/>
    <col min="39" max="39" width="8.421875" style="0" customWidth="1"/>
    <col min="40" max="40" width="7.140625" style="0" customWidth="1"/>
    <col min="42" max="42" width="3.8515625" style="0" customWidth="1"/>
    <col min="43" max="43" width="9.8515625" style="0" customWidth="1"/>
    <col min="44" max="44" width="5.57421875" style="0" customWidth="1"/>
    <col min="45" max="45" width="10.00390625" style="0" customWidth="1"/>
    <col min="46" max="46" width="8.421875" style="0" customWidth="1"/>
    <col min="47" max="47" width="6.57421875" style="0" customWidth="1"/>
    <col min="48" max="48" width="15.57421875" style="0" customWidth="1"/>
    <col min="49" max="49" width="10.421875" style="0" customWidth="1"/>
    <col min="50" max="50" width="7.8515625" style="0" customWidth="1"/>
  </cols>
  <sheetData>
    <row r="1" spans="1:53" ht="16.5" thickBot="1">
      <c r="A1" s="58" t="s">
        <v>52</v>
      </c>
      <c r="B1" s="84">
        <v>41031</v>
      </c>
      <c r="C1" s="28"/>
      <c r="D1" s="28"/>
      <c r="E1" s="43"/>
      <c r="F1" s="43"/>
      <c r="G1" s="43"/>
      <c r="H1" s="43"/>
      <c r="I1" s="44"/>
      <c r="J1" s="44"/>
      <c r="K1" s="48" t="s">
        <v>41</v>
      </c>
      <c r="L1" s="28"/>
      <c r="M1" s="28"/>
      <c r="N1" s="76"/>
      <c r="O1" s="28"/>
      <c r="P1" s="613">
        <v>16</v>
      </c>
      <c r="Q1" s="28"/>
      <c r="R1" s="28"/>
      <c r="S1" s="3"/>
      <c r="T1" s="3"/>
      <c r="U1" s="3"/>
      <c r="V1" s="3"/>
      <c r="W1" s="3"/>
      <c r="X1" s="3"/>
      <c r="Y1" s="3"/>
      <c r="Z1" s="3"/>
      <c r="AA1" s="3"/>
      <c r="AB1" s="3"/>
      <c r="AC1" s="30"/>
      <c r="AD1" s="3"/>
      <c r="AE1" s="3"/>
      <c r="AF1" s="3"/>
      <c r="AG1" s="3"/>
      <c r="AH1" s="77"/>
      <c r="AI1" s="2" t="s">
        <v>53</v>
      </c>
      <c r="AQ1" s="178" t="s">
        <v>128</v>
      </c>
      <c r="AR1" s="165"/>
      <c r="AS1" s="165"/>
      <c r="AT1" s="165"/>
      <c r="AU1" s="165"/>
      <c r="AV1" s="165"/>
      <c r="AW1" s="165"/>
      <c r="AX1" s="179"/>
      <c r="AY1" s="598"/>
      <c r="AZ1" t="s">
        <v>163</v>
      </c>
      <c r="BA1" t="s">
        <v>164</v>
      </c>
    </row>
    <row r="2" spans="1:53" ht="18">
      <c r="A2" s="16"/>
      <c r="B2" s="3"/>
      <c r="C2" s="3"/>
      <c r="D2" s="3"/>
      <c r="E2" s="4"/>
      <c r="F2" s="4"/>
      <c r="G2" s="4"/>
      <c r="H2" s="4"/>
      <c r="I2" s="80" t="s">
        <v>126</v>
      </c>
      <c r="J2" s="80"/>
      <c r="K2" s="5"/>
      <c r="L2" s="153" t="s">
        <v>127</v>
      </c>
      <c r="M2" s="3"/>
      <c r="N2" s="3"/>
      <c r="O2" s="58" t="s">
        <v>365</v>
      </c>
      <c r="P2" s="46"/>
      <c r="Q2" s="3"/>
      <c r="R2" s="505" t="s">
        <v>344</v>
      </c>
      <c r="S2" s="67"/>
      <c r="T2" s="225"/>
      <c r="U2" s="225"/>
      <c r="V2" s="509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77"/>
      <c r="AI2" s="78" t="s">
        <v>44</v>
      </c>
      <c r="AJ2" s="126">
        <v>40.7</v>
      </c>
      <c r="AK2" s="134" t="s">
        <v>112</v>
      </c>
      <c r="AQ2" s="587" t="s">
        <v>165</v>
      </c>
      <c r="AR2" s="588" t="s">
        <v>345</v>
      </c>
      <c r="AS2" s="588" t="s">
        <v>347</v>
      </c>
      <c r="AT2" s="588" t="s">
        <v>21</v>
      </c>
      <c r="AU2" s="588" t="s">
        <v>346</v>
      </c>
      <c r="AV2" s="588" t="s">
        <v>167</v>
      </c>
      <c r="AW2" s="588" t="s">
        <v>168</v>
      </c>
      <c r="AX2" s="588" t="s">
        <v>166</v>
      </c>
      <c r="AY2" s="191" t="s">
        <v>374</v>
      </c>
      <c r="AZ2" s="75">
        <v>16</v>
      </c>
      <c r="BA2" s="98">
        <v>0.0598</v>
      </c>
    </row>
    <row r="3" spans="1:53" ht="18.75" thickBot="1">
      <c r="A3" s="16"/>
      <c r="B3" s="66" t="s">
        <v>40</v>
      </c>
      <c r="C3" s="66"/>
      <c r="D3" s="66"/>
      <c r="E3" s="4"/>
      <c r="F3" s="4"/>
      <c r="G3" s="4"/>
      <c r="H3" s="4"/>
      <c r="I3" s="5"/>
      <c r="J3" s="5"/>
      <c r="K3" s="5"/>
      <c r="L3" s="3"/>
      <c r="M3" s="3"/>
      <c r="N3" s="3"/>
      <c r="O3" s="118" t="s">
        <v>366</v>
      </c>
      <c r="P3" s="121"/>
      <c r="Q3" s="3"/>
      <c r="R3" s="506" t="s">
        <v>343</v>
      </c>
      <c r="S3" s="503"/>
      <c r="T3" s="225"/>
      <c r="U3" s="510"/>
      <c r="V3" s="511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33" t="s">
        <v>111</v>
      </c>
      <c r="AH3" s="136">
        <v>1</v>
      </c>
      <c r="AI3" s="13" t="s">
        <v>50</v>
      </c>
      <c r="AJ3" s="135">
        <v>1</v>
      </c>
      <c r="AK3" s="2">
        <f>AH3*0.5368256</f>
        <v>0.5368256</v>
      </c>
      <c r="AL3" s="86" t="s">
        <v>113</v>
      </c>
      <c r="AQ3" s="550">
        <v>0.625</v>
      </c>
      <c r="AR3" s="553">
        <v>16</v>
      </c>
      <c r="AS3" s="554">
        <v>3</v>
      </c>
      <c r="AT3" s="555">
        <v>0.6875</v>
      </c>
      <c r="AU3" s="554">
        <v>10</v>
      </c>
      <c r="AV3" s="589">
        <v>0.1233375</v>
      </c>
      <c r="AW3" s="590">
        <v>0.0840625</v>
      </c>
      <c r="AX3" s="590">
        <v>0.20740000000000003</v>
      </c>
      <c r="AY3" s="615">
        <v>1</v>
      </c>
      <c r="AZ3" s="75">
        <v>14</v>
      </c>
      <c r="BA3" s="98">
        <v>0.0747</v>
      </c>
    </row>
    <row r="4" spans="1:53" ht="18.75" thickBot="1">
      <c r="A4" s="16"/>
      <c r="B4" s="66"/>
      <c r="C4" s="66"/>
      <c r="D4" s="357" t="s">
        <v>367</v>
      </c>
      <c r="E4" s="358"/>
      <c r="F4" s="358"/>
      <c r="G4" s="359"/>
      <c r="H4" s="359"/>
      <c r="I4" s="360"/>
      <c r="J4" s="360"/>
      <c r="K4" s="361"/>
      <c r="L4" s="362"/>
      <c r="O4" s="578">
        <v>0.125</v>
      </c>
      <c r="P4" s="3"/>
      <c r="Q4" s="3"/>
      <c r="R4" s="664">
        <v>0.5</v>
      </c>
      <c r="S4" s="3"/>
      <c r="T4" s="225"/>
      <c r="U4" s="509"/>
      <c r="V4" s="511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51"/>
      <c r="AI4" s="13"/>
      <c r="AJ4" s="152"/>
      <c r="AK4" s="2"/>
      <c r="AL4" s="86"/>
      <c r="AQ4" s="550">
        <v>0.75</v>
      </c>
      <c r="AR4" s="553">
        <v>16</v>
      </c>
      <c r="AS4" s="554">
        <v>3</v>
      </c>
      <c r="AT4" s="555">
        <v>0.6875</v>
      </c>
      <c r="AU4" s="554">
        <v>10</v>
      </c>
      <c r="AV4" s="589">
        <v>0.1233375</v>
      </c>
      <c r="AW4" s="590">
        <v>0.100875</v>
      </c>
      <c r="AX4" s="590">
        <v>0.2242125</v>
      </c>
      <c r="AY4" s="615">
        <v>1</v>
      </c>
      <c r="AZ4" s="75">
        <v>12</v>
      </c>
      <c r="BA4" s="98">
        <v>0.1046</v>
      </c>
    </row>
    <row r="5" spans="1:53" ht="12.75">
      <c r="A5" s="16"/>
      <c r="B5" s="3"/>
      <c r="C5" s="3"/>
      <c r="D5" s="3"/>
      <c r="E5" s="4"/>
      <c r="F5" s="4"/>
      <c r="G5" s="4"/>
      <c r="H5" s="4"/>
      <c r="I5" s="5"/>
      <c r="J5" s="5"/>
      <c r="K5" s="5"/>
      <c r="L5" s="3"/>
      <c r="M5" s="3">
        <f>AJ5/2.54</f>
        <v>0.0008061031683078928</v>
      </c>
      <c r="N5" s="3"/>
      <c r="O5" s="577"/>
      <c r="P5" s="3"/>
      <c r="Q5" s="3"/>
      <c r="R5" s="3"/>
      <c r="S5" s="3"/>
      <c r="T5" s="509"/>
      <c r="U5" s="225"/>
      <c r="V5" s="225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I5" s="13" t="s">
        <v>51</v>
      </c>
      <c r="AJ5">
        <f>AJ3/(AJ2*12)</f>
        <v>0.0020475020475020475</v>
      </c>
      <c r="AK5" t="s">
        <v>46</v>
      </c>
      <c r="AQ5" s="551">
        <v>1</v>
      </c>
      <c r="AR5" s="553">
        <v>16</v>
      </c>
      <c r="AS5" s="554">
        <v>2</v>
      </c>
      <c r="AT5" s="555">
        <v>1</v>
      </c>
      <c r="AU5" s="554">
        <v>10</v>
      </c>
      <c r="AV5" s="589">
        <v>0.1196</v>
      </c>
      <c r="AW5" s="590">
        <v>0.1345</v>
      </c>
      <c r="AX5" s="590">
        <v>0.2541</v>
      </c>
      <c r="AY5" s="615">
        <v>1</v>
      </c>
      <c r="AZ5" s="94">
        <v>10</v>
      </c>
      <c r="BA5" s="98">
        <v>0.1345</v>
      </c>
    </row>
    <row r="6" spans="1:53" ht="13.5" thickBot="1">
      <c r="A6" s="712" t="s">
        <v>42</v>
      </c>
      <c r="B6" s="713"/>
      <c r="C6" s="64"/>
      <c r="D6" s="64"/>
      <c r="E6" s="49">
        <v>37454</v>
      </c>
      <c r="F6" s="49"/>
      <c r="G6" s="4"/>
      <c r="H6" s="4"/>
      <c r="I6" s="5"/>
      <c r="J6" s="5"/>
      <c r="K6" s="6" t="s">
        <v>47</v>
      </c>
      <c r="L6" s="23"/>
      <c r="M6" s="83">
        <f>AJ5</f>
        <v>0.0020475020475020475</v>
      </c>
      <c r="N6" s="23" t="s">
        <v>46</v>
      </c>
      <c r="O6" s="3"/>
      <c r="P6" s="3"/>
      <c r="Q6" s="3"/>
      <c r="R6" s="3"/>
      <c r="S6" s="3"/>
      <c r="T6" s="225"/>
      <c r="U6" s="225"/>
      <c r="V6" s="225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I6" s="79"/>
      <c r="AJ6" s="77"/>
      <c r="AK6" s="77"/>
      <c r="AQ6" s="552">
        <v>1.25</v>
      </c>
      <c r="AR6" s="553">
        <v>16</v>
      </c>
      <c r="AS6" s="554">
        <v>2</v>
      </c>
      <c r="AT6" s="555">
        <v>1.375</v>
      </c>
      <c r="AU6" s="554">
        <v>10</v>
      </c>
      <c r="AV6" s="589">
        <v>0.16444999999999999</v>
      </c>
      <c r="AW6" s="590">
        <v>0.168125</v>
      </c>
      <c r="AX6" s="590">
        <v>0.332575</v>
      </c>
      <c r="AY6" s="615">
        <v>2</v>
      </c>
      <c r="AZ6" s="94">
        <v>9</v>
      </c>
      <c r="BA6" s="98">
        <v>0.1495</v>
      </c>
    </row>
    <row r="7" spans="1:53" ht="16.5" thickBot="1">
      <c r="A7" s="712" t="s">
        <v>43</v>
      </c>
      <c r="B7" s="713"/>
      <c r="C7" s="65"/>
      <c r="D7" s="65"/>
      <c r="E7" s="160">
        <v>41031</v>
      </c>
      <c r="F7" s="160"/>
      <c r="G7" s="4"/>
      <c r="H7" s="4"/>
      <c r="I7" s="5"/>
      <c r="J7" s="5"/>
      <c r="K7" s="6"/>
      <c r="L7" s="36" t="s">
        <v>49</v>
      </c>
      <c r="M7" s="369">
        <f>AJ2</f>
        <v>40.7</v>
      </c>
      <c r="N7" s="23" t="s">
        <v>48</v>
      </c>
      <c r="O7" s="3"/>
      <c r="P7" s="3"/>
      <c r="Q7" s="3"/>
      <c r="R7" s="3"/>
      <c r="S7" s="3"/>
      <c r="T7" s="225"/>
      <c r="U7" s="225"/>
      <c r="V7" s="225"/>
      <c r="W7" s="23" t="s">
        <v>356</v>
      </c>
      <c r="Z7" s="3"/>
      <c r="AA7" s="3"/>
      <c r="AB7" s="58"/>
      <c r="AC7" s="28"/>
      <c r="AD7" s="28"/>
      <c r="AE7" s="28"/>
      <c r="AF7" s="28"/>
      <c r="AG7" s="130"/>
      <c r="AH7" s="715" t="s">
        <v>45</v>
      </c>
      <c r="AI7" s="715"/>
      <c r="AJ7" s="715"/>
      <c r="AK7" s="716"/>
      <c r="AQ7" s="551">
        <v>1.5</v>
      </c>
      <c r="AR7" s="553">
        <v>16</v>
      </c>
      <c r="AS7" s="554">
        <v>2</v>
      </c>
      <c r="AT7" s="555">
        <v>1.5</v>
      </c>
      <c r="AU7" s="554">
        <v>12</v>
      </c>
      <c r="AV7" s="589">
        <v>0.1794</v>
      </c>
      <c r="AW7" s="590">
        <v>0.15689999999999998</v>
      </c>
      <c r="AX7" s="590">
        <v>0.3363</v>
      </c>
      <c r="AY7" s="615">
        <v>2</v>
      </c>
      <c r="AZ7" s="94">
        <v>8</v>
      </c>
      <c r="BA7" s="98">
        <v>0.1644</v>
      </c>
    </row>
    <row r="8" spans="1:53" ht="15.75" customHeight="1">
      <c r="A8" s="16"/>
      <c r="B8" s="6"/>
      <c r="C8" s="6"/>
      <c r="D8" s="52"/>
      <c r="E8" s="43"/>
      <c r="F8" s="705" t="s">
        <v>35</v>
      </c>
      <c r="G8" s="700" t="s">
        <v>233</v>
      </c>
      <c r="H8" s="354" t="s">
        <v>234</v>
      </c>
      <c r="I8" s="162"/>
      <c r="J8" s="44"/>
      <c r="K8" s="163"/>
      <c r="L8" s="52" t="s">
        <v>25</v>
      </c>
      <c r="M8" s="52" t="s">
        <v>25</v>
      </c>
      <c r="N8" s="52" t="s">
        <v>26</v>
      </c>
      <c r="O8" s="52" t="s">
        <v>30</v>
      </c>
      <c r="P8" s="381" t="s">
        <v>375</v>
      </c>
      <c r="Q8" s="381" t="s">
        <v>327</v>
      </c>
      <c r="R8" s="54" t="s">
        <v>375</v>
      </c>
      <c r="S8" s="54"/>
      <c r="T8" s="707" t="s">
        <v>377</v>
      </c>
      <c r="U8" s="702" t="s">
        <v>315</v>
      </c>
      <c r="V8" s="137" t="s">
        <v>71</v>
      </c>
      <c r="W8" s="113"/>
      <c r="X8" s="113"/>
      <c r="Y8" s="113"/>
      <c r="Z8" s="512" t="s">
        <v>352</v>
      </c>
      <c r="AA8" s="113"/>
      <c r="AB8" s="113"/>
      <c r="AC8" s="113"/>
      <c r="AD8" s="113"/>
      <c r="AE8" s="113"/>
      <c r="AF8" s="113"/>
      <c r="AG8" s="398"/>
      <c r="AH8" s="3"/>
      <c r="AI8" s="397" t="s">
        <v>181</v>
      </c>
      <c r="AJ8" s="397" t="s">
        <v>182</v>
      </c>
      <c r="AK8" s="399" t="s">
        <v>183</v>
      </c>
      <c r="AL8" s="14"/>
      <c r="AM8" s="14"/>
      <c r="AN8" s="14"/>
      <c r="AO8" s="14"/>
      <c r="AQ8" s="551">
        <v>2.125</v>
      </c>
      <c r="AR8" s="553">
        <v>16</v>
      </c>
      <c r="AS8" s="554">
        <v>1</v>
      </c>
      <c r="AT8" s="555">
        <v>2.25</v>
      </c>
      <c r="AU8" s="554">
        <v>12</v>
      </c>
      <c r="AV8" s="589">
        <v>0.13455</v>
      </c>
      <c r="AW8" s="590">
        <v>0.222275</v>
      </c>
      <c r="AX8" s="590">
        <v>0.356825</v>
      </c>
      <c r="AY8" s="615">
        <v>2</v>
      </c>
      <c r="AZ8" s="94">
        <v>7</v>
      </c>
      <c r="BA8" s="98">
        <v>0.1793</v>
      </c>
    </row>
    <row r="9" spans="1:51" ht="13.5" thickBot="1">
      <c r="A9" s="714" t="s">
        <v>6</v>
      </c>
      <c r="B9" s="709"/>
      <c r="C9" s="6"/>
      <c r="D9" s="406" t="s">
        <v>0</v>
      </c>
      <c r="E9" s="7" t="s">
        <v>0</v>
      </c>
      <c r="F9" s="706"/>
      <c r="G9" s="701"/>
      <c r="H9" s="4" t="s">
        <v>235</v>
      </c>
      <c r="I9" s="164" t="s">
        <v>125</v>
      </c>
      <c r="J9" s="30"/>
      <c r="K9" s="73"/>
      <c r="L9" s="50" t="s">
        <v>16</v>
      </c>
      <c r="M9" s="50" t="s">
        <v>7</v>
      </c>
      <c r="N9" s="50" t="s">
        <v>27</v>
      </c>
      <c r="O9" s="50" t="s">
        <v>31</v>
      </c>
      <c r="P9" s="382" t="s">
        <v>23</v>
      </c>
      <c r="Q9" s="382" t="s">
        <v>160</v>
      </c>
      <c r="R9" s="55" t="s">
        <v>160</v>
      </c>
      <c r="S9" s="55" t="s">
        <v>328</v>
      </c>
      <c r="T9" s="708"/>
      <c r="U9" s="703"/>
      <c r="V9" s="138" t="s">
        <v>162</v>
      </c>
      <c r="W9" s="113"/>
      <c r="X9" s="113"/>
      <c r="Y9" s="113"/>
      <c r="Z9" s="513" t="s">
        <v>353</v>
      </c>
      <c r="AA9" s="113"/>
      <c r="AB9" s="113"/>
      <c r="AC9" s="113"/>
      <c r="AD9" s="113"/>
      <c r="AE9" s="113"/>
      <c r="AF9" s="374"/>
      <c r="AG9" s="398"/>
      <c r="AH9" s="14"/>
      <c r="AI9" s="75"/>
      <c r="AJ9" s="380" t="s">
        <v>190</v>
      </c>
      <c r="AK9" s="191" t="s">
        <v>191</v>
      </c>
      <c r="AL9" s="3"/>
      <c r="AQ9" s="551">
        <v>2.5</v>
      </c>
      <c r="AR9" s="553">
        <v>16</v>
      </c>
      <c r="AS9" s="554">
        <v>2</v>
      </c>
      <c r="AT9" s="555">
        <v>2.5</v>
      </c>
      <c r="AU9" s="554">
        <v>16</v>
      </c>
      <c r="AV9" s="589">
        <v>0.299</v>
      </c>
      <c r="AW9" s="590">
        <v>0.1495</v>
      </c>
      <c r="AX9" s="590">
        <v>0.4485</v>
      </c>
      <c r="AY9" s="615">
        <v>2</v>
      </c>
    </row>
    <row r="10" spans="1:51" ht="39" thickBot="1">
      <c r="A10" s="686" t="s">
        <v>5</v>
      </c>
      <c r="B10" s="688"/>
      <c r="C10" s="9"/>
      <c r="D10" s="407" t="s">
        <v>253</v>
      </c>
      <c r="E10" s="404" t="s">
        <v>253</v>
      </c>
      <c r="F10" s="356" t="s">
        <v>314</v>
      </c>
      <c r="G10" s="40" t="s">
        <v>114</v>
      </c>
      <c r="H10" s="355" t="s">
        <v>114</v>
      </c>
      <c r="I10" s="51"/>
      <c r="J10" s="51" t="s">
        <v>311</v>
      </c>
      <c r="K10" s="52" t="s">
        <v>14</v>
      </c>
      <c r="L10" s="50" t="s">
        <v>12</v>
      </c>
      <c r="M10" s="50" t="s">
        <v>12</v>
      </c>
      <c r="N10" s="50" t="s">
        <v>8</v>
      </c>
      <c r="O10" s="364" t="s">
        <v>17</v>
      </c>
      <c r="P10" s="55" t="s">
        <v>11</v>
      </c>
      <c r="Q10" s="55" t="s">
        <v>161</v>
      </c>
      <c r="R10" s="55" t="s">
        <v>161</v>
      </c>
      <c r="S10" s="55" t="s">
        <v>329</v>
      </c>
      <c r="T10" s="617" t="s">
        <v>376</v>
      </c>
      <c r="U10" s="703"/>
      <c r="V10" s="140" t="s">
        <v>72</v>
      </c>
      <c r="W10" s="650" t="s">
        <v>11</v>
      </c>
      <c r="X10" s="607" t="s">
        <v>11</v>
      </c>
      <c r="Y10" s="523" t="s">
        <v>351</v>
      </c>
      <c r="Z10" s="524" t="s">
        <v>354</v>
      </c>
      <c r="AA10" s="525" t="s">
        <v>355</v>
      </c>
      <c r="AB10" s="516" t="s">
        <v>322</v>
      </c>
      <c r="AC10" s="517" t="s">
        <v>321</v>
      </c>
      <c r="AD10" s="518" t="s">
        <v>316</v>
      </c>
      <c r="AE10" s="519" t="s">
        <v>325</v>
      </c>
      <c r="AF10" s="377"/>
      <c r="AG10" s="378"/>
      <c r="AH10" s="98"/>
      <c r="AI10" s="75" t="s">
        <v>185</v>
      </c>
      <c r="AJ10" s="75" t="s">
        <v>186</v>
      </c>
      <c r="AK10" s="191" t="s">
        <v>187</v>
      </c>
      <c r="AL10" s="3"/>
      <c r="AP10" s="186"/>
      <c r="AQ10" s="551">
        <v>3</v>
      </c>
      <c r="AR10" s="553">
        <v>16</v>
      </c>
      <c r="AS10" s="554">
        <v>4</v>
      </c>
      <c r="AT10" s="555">
        <v>0.688</v>
      </c>
      <c r="AU10" s="554">
        <v>14</v>
      </c>
      <c r="AV10" s="589">
        <v>0.16456959999999998</v>
      </c>
      <c r="AW10" s="590">
        <v>0.22410000000000002</v>
      </c>
      <c r="AX10" s="590">
        <v>0.3886696</v>
      </c>
      <c r="AY10" s="615">
        <v>2</v>
      </c>
    </row>
    <row r="11" spans="1:51" ht="13.5" thickBot="1">
      <c r="A11" s="16"/>
      <c r="B11" s="3"/>
      <c r="C11" s="3"/>
      <c r="D11" s="57" t="s">
        <v>324</v>
      </c>
      <c r="E11" s="415" t="s">
        <v>1</v>
      </c>
      <c r="F11" s="416"/>
      <c r="G11" s="416"/>
      <c r="H11" s="417"/>
      <c r="I11" s="418" t="s">
        <v>21</v>
      </c>
      <c r="J11" s="418" t="s">
        <v>114</v>
      </c>
      <c r="K11" s="418" t="s">
        <v>15</v>
      </c>
      <c r="L11" s="53" t="s">
        <v>18</v>
      </c>
      <c r="M11" s="53" t="s">
        <v>18</v>
      </c>
      <c r="N11" s="53" t="s">
        <v>28</v>
      </c>
      <c r="O11" s="53" t="s">
        <v>19</v>
      </c>
      <c r="P11" s="171" t="s">
        <v>20</v>
      </c>
      <c r="Q11" s="53"/>
      <c r="R11" s="53" t="s">
        <v>317</v>
      </c>
      <c r="S11" s="53" t="s">
        <v>330</v>
      </c>
      <c r="T11" s="618" t="s">
        <v>320</v>
      </c>
      <c r="U11" s="704"/>
      <c r="V11" s="170" t="s">
        <v>10</v>
      </c>
      <c r="W11" s="651"/>
      <c r="X11" s="608"/>
      <c r="Y11" s="526"/>
      <c r="Z11" s="527"/>
      <c r="AA11" s="528"/>
      <c r="AB11" s="520"/>
      <c r="AC11" s="521"/>
      <c r="AD11" s="522">
        <v>0.9</v>
      </c>
      <c r="AE11" s="522">
        <v>1.25</v>
      </c>
      <c r="AF11" s="379"/>
      <c r="AG11" s="377" t="s">
        <v>180</v>
      </c>
      <c r="AH11" s="377"/>
      <c r="AI11" s="75" t="s">
        <v>184</v>
      </c>
      <c r="AJ11" s="75" t="s">
        <v>189</v>
      </c>
      <c r="AK11" s="191" t="s">
        <v>188</v>
      </c>
      <c r="AL11" s="3"/>
      <c r="AQ11" s="551">
        <v>3.625</v>
      </c>
      <c r="AR11" s="553">
        <v>16</v>
      </c>
      <c r="AS11" s="554">
        <v>1</v>
      </c>
      <c r="AT11" s="555">
        <v>3.75</v>
      </c>
      <c r="AU11" s="554">
        <v>14</v>
      </c>
      <c r="AV11" s="589">
        <v>0.22425</v>
      </c>
      <c r="AW11" s="590">
        <v>0.2707875</v>
      </c>
      <c r="AX11" s="590">
        <v>0.4950375</v>
      </c>
      <c r="AY11" s="615">
        <v>3</v>
      </c>
    </row>
    <row r="12" spans="1:51" ht="13.5" thickBot="1">
      <c r="A12" s="696" t="s">
        <v>2</v>
      </c>
      <c r="B12" s="697"/>
      <c r="C12" s="37"/>
      <c r="D12" s="405">
        <v>0.75</v>
      </c>
      <c r="E12" s="408">
        <v>0.75</v>
      </c>
      <c r="F12" s="391" t="s">
        <v>385</v>
      </c>
      <c r="G12" s="600">
        <f>VLOOKUP(I12,$AQ$3:$AY$15,9,0)</f>
        <v>1</v>
      </c>
      <c r="H12" s="600">
        <f>IF(G12&lt;3,0,G12-2)</f>
        <v>0</v>
      </c>
      <c r="I12" s="408">
        <v>0.625</v>
      </c>
      <c r="J12" s="409">
        <v>1</v>
      </c>
      <c r="K12" s="410">
        <f>J12*LOOKUP(I12,$AQ$3:$AQ$14,$AX$3:$AX$14)</f>
        <v>0.20740000000000003</v>
      </c>
      <c r="L12" s="411">
        <f aca="true" t="shared" si="0" ref="L12:L54">IF(D12=0," ",(D12+0.25)*($A$13*$B$26*$A$23/$B$27)*$B$24)</f>
        <v>18.88679245283019</v>
      </c>
      <c r="M12" s="411">
        <f aca="true" t="shared" si="1" ref="M12:M54">IF(D12=0," ",(D12+0.25)*($A$13*$B$26*$A$23/$B$27)*(1-$B$24))</f>
        <v>35.07547169811321</v>
      </c>
      <c r="N12" s="411">
        <f aca="true" t="shared" si="2" ref="N12:N54">IF(E12=0," ",($A$31*P12))</f>
        <v>0</v>
      </c>
      <c r="O12" s="244">
        <f>IF(D12=0," ",((D12+0.25)*$A$13-K12)*0.285)+IF(UPPER(F12)="T",0.285*$O$4*$A$13/2,0)</f>
        <v>0.22589099999999998</v>
      </c>
      <c r="P12" s="423"/>
      <c r="Q12" s="422">
        <v>35</v>
      </c>
      <c r="R12" s="412"/>
      <c r="S12" s="504">
        <f>$R$4*$A$16/12</f>
        <v>4</v>
      </c>
      <c r="T12" s="412"/>
      <c r="U12" s="413"/>
      <c r="V12" s="414">
        <f>O12*P12/($M$6*G12)</f>
        <v>0</v>
      </c>
      <c r="W12" s="609">
        <v>1.6</v>
      </c>
      <c r="X12" s="610">
        <f aca="true" t="shared" si="3" ref="X12:X39">0.95*AC12</f>
        <v>2.49375</v>
      </c>
      <c r="Y12" s="526">
        <v>32.3</v>
      </c>
      <c r="Z12" s="529">
        <v>1.2</v>
      </c>
      <c r="AA12" s="530">
        <v>3</v>
      </c>
      <c r="AB12" s="514">
        <f>(D12+E12)/2</f>
        <v>0.75</v>
      </c>
      <c r="AC12" s="396">
        <f>3-AB12/2</f>
        <v>2.625</v>
      </c>
      <c r="AD12" s="394">
        <f>AC12*0.9</f>
        <v>2.3625000000000003</v>
      </c>
      <c r="AE12" s="394">
        <f>AC12*1.25</f>
        <v>3.28125</v>
      </c>
      <c r="AF12" s="400"/>
      <c r="AG12" s="383">
        <f>'All Vars D1.x'!U3</f>
        <v>500</v>
      </c>
      <c r="AH12" s="384">
        <f>(AG12)*0.125+0.75</f>
        <v>63.25</v>
      </c>
      <c r="AI12" s="385" t="e">
        <f aca="true" t="shared" si="4" ref="AI12:AI54">(R12*AG12*60)/(P12*1000)</f>
        <v>#DIV/0!</v>
      </c>
      <c r="AJ12" s="385" t="e">
        <f aca="true" t="shared" si="5" ref="AJ12:AJ54">AI12/E12</f>
        <v>#DIV/0!</v>
      </c>
      <c r="AK12" s="386" t="e">
        <f aca="true" t="shared" si="6" ref="AK12:AK54">(0.0569*R12*AG12-$AU$32)*1.055/(P12*E12)</f>
        <v>#DIV/0!</v>
      </c>
      <c r="AL12" s="3"/>
      <c r="AQ12" s="551">
        <v>4</v>
      </c>
      <c r="AR12" s="553">
        <v>16</v>
      </c>
      <c r="AS12" s="554">
        <v>1</v>
      </c>
      <c r="AT12" s="555">
        <v>4</v>
      </c>
      <c r="AU12" s="554">
        <v>16</v>
      </c>
      <c r="AV12" s="589">
        <v>0.2392</v>
      </c>
      <c r="AW12" s="590">
        <v>0.2392</v>
      </c>
      <c r="AX12" s="590">
        <v>0.4784</v>
      </c>
      <c r="AY12" s="615">
        <v>3</v>
      </c>
    </row>
    <row r="13" spans="1:51" ht="13.5" thickBot="1">
      <c r="A13" s="719">
        <v>1</v>
      </c>
      <c r="B13" s="720"/>
      <c r="C13" s="47"/>
      <c r="D13" s="175">
        <f>D12+1/8</f>
        <v>0.875</v>
      </c>
      <c r="E13" s="408">
        <f>D13</f>
        <v>0.875</v>
      </c>
      <c r="F13" s="391" t="s">
        <v>183</v>
      </c>
      <c r="G13" s="600">
        <f aca="true" t="shared" si="7" ref="G13:G54">VLOOKUP(I13,$AQ$3:$AY$15,9,0)</f>
        <v>1</v>
      </c>
      <c r="H13" s="600">
        <f aca="true" t="shared" si="8" ref="H13:H54">IF(G13&lt;3,0,G13-2)</f>
        <v>0</v>
      </c>
      <c r="I13" s="249">
        <v>0.75</v>
      </c>
      <c r="J13" s="367">
        <v>1</v>
      </c>
      <c r="K13" s="368">
        <f aca="true" t="shared" si="9" ref="K13:K54">J13*LOOKUP(I13,$AQ$3:$AQ$14,$AX$3:$AX$14)</f>
        <v>0.2242125</v>
      </c>
      <c r="L13" s="411">
        <f t="shared" si="0"/>
        <v>21.24764150943396</v>
      </c>
      <c r="M13" s="411">
        <f t="shared" si="1"/>
        <v>39.45990566037736</v>
      </c>
      <c r="N13" s="104">
        <f t="shared" si="2"/>
        <v>0</v>
      </c>
      <c r="O13" s="244">
        <f aca="true" t="shared" si="10" ref="O13:O54">IF(D13=0," ",((D13+0.25)*$A$13-K13)*0.285)+IF(UPPER(F13)="T",0.285*$O$4*$A$13/2,0)</f>
        <v>0.25672443749999996</v>
      </c>
      <c r="P13" s="423"/>
      <c r="Q13" s="422">
        <v>35</v>
      </c>
      <c r="R13" s="412"/>
      <c r="S13" s="504">
        <f aca="true" t="shared" si="11" ref="S13:S54">$R$4*$A$16/12</f>
        <v>4</v>
      </c>
      <c r="T13" s="412"/>
      <c r="U13" s="250"/>
      <c r="V13" s="376">
        <f aca="true" t="shared" si="12" ref="V13:V29">O13*P13/($M$6*G13)</f>
        <v>0</v>
      </c>
      <c r="W13" s="649">
        <v>1.57</v>
      </c>
      <c r="X13" s="610">
        <f t="shared" si="3"/>
        <v>2.4343749999999997</v>
      </c>
      <c r="Y13" s="526">
        <v>32.6</v>
      </c>
      <c r="Z13" s="529">
        <v>1.2</v>
      </c>
      <c r="AA13" s="530">
        <v>3</v>
      </c>
      <c r="AB13" s="514">
        <f aca="true" t="shared" si="13" ref="AB13:AB54">(D13+E13)/2</f>
        <v>0.875</v>
      </c>
      <c r="AC13" s="396">
        <f aca="true" t="shared" si="14" ref="AC13:AC54">3-AB13/2</f>
        <v>2.5625</v>
      </c>
      <c r="AD13" s="394">
        <f aca="true" t="shared" si="15" ref="AD13:AD54">AC13*0.9</f>
        <v>2.30625</v>
      </c>
      <c r="AE13" s="394">
        <f aca="true" t="shared" si="16" ref="AE13:AE53">AC13*1.25</f>
        <v>3.203125</v>
      </c>
      <c r="AF13" s="400"/>
      <c r="AG13" s="383">
        <f>'All Vars D1.x'!U4</f>
        <v>500</v>
      </c>
      <c r="AH13" s="384">
        <f aca="true" t="shared" si="17" ref="AH13:AH54">(AG13)*0.125+0.75</f>
        <v>63.25</v>
      </c>
      <c r="AI13" s="385" t="e">
        <f t="shared" si="4"/>
        <v>#DIV/0!</v>
      </c>
      <c r="AJ13" s="385" t="e">
        <f t="shared" si="5"/>
        <v>#DIV/0!</v>
      </c>
      <c r="AK13" s="386" t="e">
        <f t="shared" si="6"/>
        <v>#DIV/0!</v>
      </c>
      <c r="AL13" s="3"/>
      <c r="AQ13" s="551">
        <v>4.625</v>
      </c>
      <c r="AR13" s="553">
        <v>16</v>
      </c>
      <c r="AS13" s="554">
        <v>3</v>
      </c>
      <c r="AT13" s="555">
        <v>0.6875</v>
      </c>
      <c r="AU13" s="554">
        <v>16</v>
      </c>
      <c r="AV13" s="589">
        <v>0.1233375</v>
      </c>
      <c r="AW13" s="590">
        <v>0.276575</v>
      </c>
      <c r="AX13" s="590">
        <v>0.3999125</v>
      </c>
      <c r="AY13" s="615">
        <v>3</v>
      </c>
    </row>
    <row r="14" spans="1:51" ht="12.75">
      <c r="A14" s="16"/>
      <c r="B14" s="3"/>
      <c r="C14" s="3"/>
      <c r="D14" s="175">
        <f aca="true" t="shared" si="18" ref="D14:D38">D13+1/8</f>
        <v>1</v>
      </c>
      <c r="E14" s="408">
        <v>1</v>
      </c>
      <c r="F14" s="391"/>
      <c r="G14" s="600">
        <f t="shared" si="7"/>
        <v>1</v>
      </c>
      <c r="H14" s="600">
        <f t="shared" si="8"/>
        <v>0</v>
      </c>
      <c r="I14" s="249">
        <v>0.75</v>
      </c>
      <c r="J14" s="367">
        <v>1</v>
      </c>
      <c r="K14" s="368">
        <f t="shared" si="9"/>
        <v>0.2242125</v>
      </c>
      <c r="L14" s="411">
        <f t="shared" si="0"/>
        <v>23.608490566037734</v>
      </c>
      <c r="M14" s="411">
        <f t="shared" si="1"/>
        <v>43.84433962264151</v>
      </c>
      <c r="N14" s="104">
        <f t="shared" si="2"/>
        <v>0</v>
      </c>
      <c r="O14" s="244">
        <f t="shared" si="10"/>
        <v>0.2923494375</v>
      </c>
      <c r="P14" s="423"/>
      <c r="Q14" s="422">
        <v>35</v>
      </c>
      <c r="R14" s="412"/>
      <c r="S14" s="504">
        <f t="shared" si="11"/>
        <v>4</v>
      </c>
      <c r="T14" s="412"/>
      <c r="U14" s="250"/>
      <c r="V14" s="376">
        <f t="shared" si="12"/>
        <v>0</v>
      </c>
      <c r="W14" s="649">
        <f aca="true" t="shared" si="19" ref="W14:W53">$W$12-(($W$12-$W$54)*(D14-$D$12))/5.2</f>
        <v>1.5447115384615386</v>
      </c>
      <c r="X14" s="610">
        <f t="shared" si="3"/>
        <v>2.375</v>
      </c>
      <c r="Y14" s="526">
        <v>32.9</v>
      </c>
      <c r="Z14" s="529">
        <v>1.2</v>
      </c>
      <c r="AA14" s="530">
        <v>3</v>
      </c>
      <c r="AB14" s="514">
        <f t="shared" si="13"/>
        <v>1</v>
      </c>
      <c r="AC14" s="396">
        <f t="shared" si="14"/>
        <v>2.5</v>
      </c>
      <c r="AD14" s="394">
        <f t="shared" si="15"/>
        <v>2.25</v>
      </c>
      <c r="AE14" s="394">
        <f t="shared" si="16"/>
        <v>3.125</v>
      </c>
      <c r="AF14" s="400"/>
      <c r="AG14" s="383">
        <f>'All Vars D1.x'!U5</f>
        <v>500</v>
      </c>
      <c r="AH14" s="384">
        <f t="shared" si="17"/>
        <v>63.25</v>
      </c>
      <c r="AI14" s="385" t="e">
        <f t="shared" si="4"/>
        <v>#DIV/0!</v>
      </c>
      <c r="AJ14" s="385" t="e">
        <f t="shared" si="5"/>
        <v>#DIV/0!</v>
      </c>
      <c r="AK14" s="386" t="e">
        <f t="shared" si="6"/>
        <v>#DIV/0!</v>
      </c>
      <c r="AL14" s="3"/>
      <c r="AQ14" s="551">
        <v>5</v>
      </c>
      <c r="AR14" s="553">
        <v>16</v>
      </c>
      <c r="AS14" s="554">
        <v>3</v>
      </c>
      <c r="AT14" s="555">
        <v>1</v>
      </c>
      <c r="AU14" s="554">
        <v>16</v>
      </c>
      <c r="AV14" s="589">
        <v>0.1794</v>
      </c>
      <c r="AW14" s="590">
        <v>0.299</v>
      </c>
      <c r="AX14" s="590">
        <v>0.4784</v>
      </c>
      <c r="AY14" s="615">
        <v>3</v>
      </c>
    </row>
    <row r="15" spans="1:51" ht="13.5" thickBot="1">
      <c r="A15" s="496" t="s">
        <v>224</v>
      </c>
      <c r="B15" s="497"/>
      <c r="C15" s="6"/>
      <c r="D15" s="175">
        <f t="shared" si="18"/>
        <v>1.125</v>
      </c>
      <c r="E15" s="408">
        <v>1.125</v>
      </c>
      <c r="F15" s="391" t="s">
        <v>385</v>
      </c>
      <c r="G15" s="600">
        <f t="shared" si="7"/>
        <v>1</v>
      </c>
      <c r="H15" s="600">
        <f t="shared" si="8"/>
        <v>0</v>
      </c>
      <c r="I15" s="249">
        <v>0.625</v>
      </c>
      <c r="J15" s="367">
        <v>0.625</v>
      </c>
      <c r="K15" s="368">
        <f t="shared" si="9"/>
        <v>0.12962500000000002</v>
      </c>
      <c r="L15" s="411">
        <f t="shared" si="0"/>
        <v>25.969339622641506</v>
      </c>
      <c r="M15" s="411">
        <f t="shared" si="1"/>
        <v>48.22877358490566</v>
      </c>
      <c r="N15" s="104">
        <f t="shared" si="2"/>
        <v>0</v>
      </c>
      <c r="O15" s="244">
        <f t="shared" si="10"/>
        <v>0.35493187499999995</v>
      </c>
      <c r="P15" s="423"/>
      <c r="Q15" s="422">
        <v>35</v>
      </c>
      <c r="R15" s="412"/>
      <c r="S15" s="504">
        <f t="shared" si="11"/>
        <v>4</v>
      </c>
      <c r="T15" s="412"/>
      <c r="U15" s="250"/>
      <c r="V15" s="376">
        <f t="shared" si="12"/>
        <v>0</v>
      </c>
      <c r="W15" s="649">
        <f t="shared" si="19"/>
        <v>1.5170673076923078</v>
      </c>
      <c r="X15" s="610">
        <f t="shared" si="3"/>
        <v>2.315625</v>
      </c>
      <c r="Y15" s="526">
        <v>33.2</v>
      </c>
      <c r="Z15" s="529">
        <v>1.2</v>
      </c>
      <c r="AA15" s="530">
        <v>3</v>
      </c>
      <c r="AB15" s="514">
        <f t="shared" si="13"/>
        <v>1.125</v>
      </c>
      <c r="AC15" s="396">
        <f t="shared" si="14"/>
        <v>2.4375</v>
      </c>
      <c r="AD15" s="394">
        <f t="shared" si="15"/>
        <v>2.19375</v>
      </c>
      <c r="AE15" s="394">
        <f t="shared" si="16"/>
        <v>3.046875</v>
      </c>
      <c r="AF15" s="400"/>
      <c r="AG15" s="383">
        <f>'All Vars D1.x'!U6</f>
        <v>500</v>
      </c>
      <c r="AH15" s="384">
        <f t="shared" si="17"/>
        <v>63.25</v>
      </c>
      <c r="AI15" s="385" t="e">
        <f t="shared" si="4"/>
        <v>#DIV/0!</v>
      </c>
      <c r="AJ15" s="385" t="e">
        <f t="shared" si="5"/>
        <v>#DIV/0!</v>
      </c>
      <c r="AK15" s="386" t="e">
        <f t="shared" si="6"/>
        <v>#DIV/0!</v>
      </c>
      <c r="AL15" s="3"/>
      <c r="AP15" s="42"/>
      <c r="AQ15" s="551">
        <v>5.5</v>
      </c>
      <c r="AR15" s="553">
        <v>16</v>
      </c>
      <c r="AS15" s="554">
        <v>4</v>
      </c>
      <c r="AT15" s="555">
        <v>1</v>
      </c>
      <c r="AU15" s="554">
        <v>16</v>
      </c>
      <c r="AV15" s="589">
        <v>0.2392</v>
      </c>
      <c r="AW15" s="590">
        <v>0.32889999999999997</v>
      </c>
      <c r="AX15" s="590">
        <v>0.5680999999999999</v>
      </c>
      <c r="AY15" s="616">
        <v>4</v>
      </c>
    </row>
    <row r="16" spans="1:51" ht="16.5" thickBot="1">
      <c r="A16" s="698">
        <v>96</v>
      </c>
      <c r="B16" s="699"/>
      <c r="C16" s="9"/>
      <c r="D16" s="175">
        <f t="shared" si="18"/>
        <v>1.25</v>
      </c>
      <c r="E16" s="408">
        <f aca="true" t="shared" si="20" ref="E16:E54">D16</f>
        <v>1.25</v>
      </c>
      <c r="F16" s="391" t="s">
        <v>385</v>
      </c>
      <c r="G16" s="600">
        <f t="shared" si="7"/>
        <v>1</v>
      </c>
      <c r="H16" s="600">
        <f t="shared" si="8"/>
        <v>0</v>
      </c>
      <c r="I16" s="249">
        <v>0.75</v>
      </c>
      <c r="J16" s="367">
        <v>1</v>
      </c>
      <c r="K16" s="368">
        <f t="shared" si="9"/>
        <v>0.2242125</v>
      </c>
      <c r="L16" s="411">
        <f t="shared" si="0"/>
        <v>28.330188679245285</v>
      </c>
      <c r="M16" s="411">
        <f t="shared" si="1"/>
        <v>52.61320754716982</v>
      </c>
      <c r="N16" s="104">
        <f t="shared" si="2"/>
        <v>6.6000000000000005</v>
      </c>
      <c r="O16" s="244">
        <f t="shared" si="10"/>
        <v>0.3635994375</v>
      </c>
      <c r="P16" s="423">
        <v>1.1</v>
      </c>
      <c r="Q16" s="422">
        <v>38</v>
      </c>
      <c r="R16" s="412">
        <v>37</v>
      </c>
      <c r="S16" s="504">
        <f t="shared" si="11"/>
        <v>4</v>
      </c>
      <c r="T16" s="412"/>
      <c r="U16" s="250"/>
      <c r="V16" s="376">
        <f t="shared" si="12"/>
        <v>195.3401618025</v>
      </c>
      <c r="W16" s="649">
        <f t="shared" si="19"/>
        <v>1.489423076923077</v>
      </c>
      <c r="X16" s="610">
        <f t="shared" si="3"/>
        <v>2.25625</v>
      </c>
      <c r="Y16" s="526">
        <v>33.5</v>
      </c>
      <c r="Z16" s="529">
        <v>1.2</v>
      </c>
      <c r="AA16" s="530">
        <v>3</v>
      </c>
      <c r="AB16" s="514">
        <f t="shared" si="13"/>
        <v>1.25</v>
      </c>
      <c r="AC16" s="396">
        <f t="shared" si="14"/>
        <v>2.375</v>
      </c>
      <c r="AD16" s="394">
        <f t="shared" si="15"/>
        <v>2.1375</v>
      </c>
      <c r="AE16" s="394">
        <f t="shared" si="16"/>
        <v>2.96875</v>
      </c>
      <c r="AF16" s="400"/>
      <c r="AG16" s="383">
        <f>'All Vars D1.x'!U7</f>
        <v>890.680323605</v>
      </c>
      <c r="AH16" s="384">
        <f t="shared" si="17"/>
        <v>112.085040450625</v>
      </c>
      <c r="AI16" s="385">
        <f t="shared" si="4"/>
        <v>1797.5548349119092</v>
      </c>
      <c r="AJ16" s="385">
        <f t="shared" si="5"/>
        <v>1438.0438679295273</v>
      </c>
      <c r="AK16" s="386">
        <f t="shared" si="6"/>
        <v>1154.8599970736836</v>
      </c>
      <c r="AL16" s="3"/>
      <c r="AQ16" s="493"/>
      <c r="AR16" s="494"/>
      <c r="AS16" s="494"/>
      <c r="AT16" s="494"/>
      <c r="AU16" s="495"/>
      <c r="AV16" s="495"/>
      <c r="AW16" s="495"/>
      <c r="AX16" s="495"/>
      <c r="AY16" s="495"/>
    </row>
    <row r="17" spans="3:38" ht="13.5" thickBot="1">
      <c r="C17" s="6"/>
      <c r="D17" s="175">
        <f t="shared" si="18"/>
        <v>1.375</v>
      </c>
      <c r="E17" s="408">
        <v>1.375</v>
      </c>
      <c r="F17" s="391"/>
      <c r="G17" s="600">
        <f t="shared" si="7"/>
        <v>1</v>
      </c>
      <c r="H17" s="600">
        <f t="shared" si="8"/>
        <v>0</v>
      </c>
      <c r="I17" s="249">
        <v>1</v>
      </c>
      <c r="J17" s="367">
        <v>0.625</v>
      </c>
      <c r="K17" s="368">
        <f aca="true" t="shared" si="21" ref="K17:K29">J17*LOOKUP(I17,$AQ$3:$AQ$14,$AX$3:$AX$14)</f>
        <v>0.1588125</v>
      </c>
      <c r="L17" s="411">
        <f aca="true" t="shared" si="22" ref="L17:L29">IF(D17=0," ",(D17+0.25)*($A$13*$B$26*$A$23/$B$27)*$B$24)</f>
        <v>30.691037735849058</v>
      </c>
      <c r="M17" s="411">
        <f aca="true" t="shared" si="23" ref="M17:M29">IF(D17=0," ",(D17+0.25)*($A$13*$B$26*$A$23/$B$27)*(1-$B$24))</f>
        <v>56.99764150943397</v>
      </c>
      <c r="N17" s="104">
        <f aca="true" t="shared" si="24" ref="N17:N29">IF(E17=0," ",($A$31*P17))</f>
        <v>0</v>
      </c>
      <c r="O17" s="244">
        <f t="shared" si="10"/>
        <v>0.41786343749999993</v>
      </c>
      <c r="P17" s="423"/>
      <c r="Q17" s="422">
        <v>35</v>
      </c>
      <c r="R17" s="412"/>
      <c r="S17" s="504">
        <f t="shared" si="11"/>
        <v>4</v>
      </c>
      <c r="T17" s="412"/>
      <c r="U17" s="250"/>
      <c r="V17" s="376">
        <f t="shared" si="12"/>
        <v>0</v>
      </c>
      <c r="W17" s="649">
        <f t="shared" si="19"/>
        <v>1.4617788461538463</v>
      </c>
      <c r="X17" s="610">
        <f t="shared" si="3"/>
        <v>2.196875</v>
      </c>
      <c r="Y17" s="526">
        <v>33.8</v>
      </c>
      <c r="Z17" s="529">
        <v>1.2</v>
      </c>
      <c r="AA17" s="530">
        <v>3</v>
      </c>
      <c r="AB17" s="514">
        <f t="shared" si="13"/>
        <v>1.375</v>
      </c>
      <c r="AC17" s="396">
        <f t="shared" si="14"/>
        <v>2.3125</v>
      </c>
      <c r="AD17" s="394">
        <f t="shared" si="15"/>
        <v>2.0812500000000003</v>
      </c>
      <c r="AE17" s="394">
        <f t="shared" si="16"/>
        <v>2.890625</v>
      </c>
      <c r="AF17" s="400"/>
      <c r="AG17" s="383">
        <f>'All Vars D1.x'!U8</f>
        <v>770</v>
      </c>
      <c r="AH17" s="384">
        <f t="shared" si="17"/>
        <v>97</v>
      </c>
      <c r="AI17" s="385" t="e">
        <f t="shared" si="4"/>
        <v>#DIV/0!</v>
      </c>
      <c r="AJ17" s="385" t="e">
        <f t="shared" si="5"/>
        <v>#DIV/0!</v>
      </c>
      <c r="AK17" s="386" t="e">
        <f t="shared" si="6"/>
        <v>#DIV/0!</v>
      </c>
      <c r="AL17" s="3"/>
    </row>
    <row r="18" spans="1:52" ht="12.75">
      <c r="A18" s="684" t="s">
        <v>3</v>
      </c>
      <c r="B18" s="685"/>
      <c r="C18" s="3"/>
      <c r="D18" s="175">
        <f t="shared" si="18"/>
        <v>1.5</v>
      </c>
      <c r="E18" s="408">
        <f t="shared" si="20"/>
        <v>1.5</v>
      </c>
      <c r="F18" s="391"/>
      <c r="G18" s="600">
        <f t="shared" si="7"/>
        <v>2</v>
      </c>
      <c r="H18" s="600">
        <f t="shared" si="8"/>
        <v>0</v>
      </c>
      <c r="I18" s="249">
        <v>1.25</v>
      </c>
      <c r="J18" s="367">
        <v>0.75</v>
      </c>
      <c r="K18" s="368">
        <f t="shared" si="21"/>
        <v>0.24943125</v>
      </c>
      <c r="L18" s="411">
        <f t="shared" si="22"/>
        <v>33.051886792452834</v>
      </c>
      <c r="M18" s="411">
        <f t="shared" si="23"/>
        <v>61.382075471698116</v>
      </c>
      <c r="N18" s="104">
        <f t="shared" si="24"/>
        <v>0</v>
      </c>
      <c r="O18" s="244">
        <f t="shared" si="10"/>
        <v>0.42766209374999997</v>
      </c>
      <c r="P18" s="423"/>
      <c r="Q18" s="422">
        <v>35</v>
      </c>
      <c r="R18" s="412"/>
      <c r="S18" s="504">
        <f t="shared" si="11"/>
        <v>4</v>
      </c>
      <c r="T18" s="412"/>
      <c r="U18" s="250"/>
      <c r="V18" s="376">
        <f t="shared" si="12"/>
        <v>0</v>
      </c>
      <c r="W18" s="649">
        <v>1.43</v>
      </c>
      <c r="X18" s="610">
        <f t="shared" si="3"/>
        <v>2.1374999999999997</v>
      </c>
      <c r="Y18" s="526">
        <v>32.2</v>
      </c>
      <c r="Z18" s="529">
        <v>1.2</v>
      </c>
      <c r="AA18" s="530">
        <v>3</v>
      </c>
      <c r="AB18" s="514">
        <f t="shared" si="13"/>
        <v>1.5</v>
      </c>
      <c r="AC18" s="396">
        <f t="shared" si="14"/>
        <v>2.25</v>
      </c>
      <c r="AD18" s="394">
        <f t="shared" si="15"/>
        <v>2.025</v>
      </c>
      <c r="AE18" s="394">
        <f t="shared" si="16"/>
        <v>2.8125</v>
      </c>
      <c r="AF18" s="400"/>
      <c r="AG18" s="383">
        <f>'All Vars D1.x'!U9</f>
        <v>780</v>
      </c>
      <c r="AH18" s="384">
        <f t="shared" si="17"/>
        <v>98.25</v>
      </c>
      <c r="AI18" s="385" t="e">
        <f t="shared" si="4"/>
        <v>#DIV/0!</v>
      </c>
      <c r="AJ18" s="385" t="e">
        <f t="shared" si="5"/>
        <v>#DIV/0!</v>
      </c>
      <c r="AK18" s="386" t="e">
        <f t="shared" si="6"/>
        <v>#DIV/0!</v>
      </c>
      <c r="AL18" s="3"/>
      <c r="AQ18" s="58"/>
      <c r="AR18" s="295" t="s">
        <v>192</v>
      </c>
      <c r="AS18" s="46"/>
      <c r="AU18" s="58"/>
      <c r="AV18" s="45" t="s">
        <v>198</v>
      </c>
      <c r="AW18" s="28"/>
      <c r="AX18" s="28"/>
      <c r="AY18" s="28"/>
      <c r="AZ18" s="46"/>
    </row>
    <row r="19" spans="1:53" ht="12.75">
      <c r="A19" s="686" t="s">
        <v>4</v>
      </c>
      <c r="B19" s="687"/>
      <c r="C19" s="6"/>
      <c r="D19" s="175">
        <f t="shared" si="18"/>
        <v>1.625</v>
      </c>
      <c r="E19" s="408">
        <f t="shared" si="20"/>
        <v>1.625</v>
      </c>
      <c r="F19" s="391"/>
      <c r="G19" s="600">
        <f t="shared" si="7"/>
        <v>2</v>
      </c>
      <c r="H19" s="600">
        <f t="shared" si="8"/>
        <v>0</v>
      </c>
      <c r="I19" s="249">
        <v>1.25</v>
      </c>
      <c r="J19" s="367">
        <v>1</v>
      </c>
      <c r="K19" s="368">
        <f t="shared" si="21"/>
        <v>0.332575</v>
      </c>
      <c r="L19" s="411">
        <f t="shared" si="22"/>
        <v>35.4127358490566</v>
      </c>
      <c r="M19" s="411">
        <f t="shared" si="23"/>
        <v>65.76650943396227</v>
      </c>
      <c r="N19" s="104">
        <f t="shared" si="24"/>
        <v>0</v>
      </c>
      <c r="O19" s="244">
        <f t="shared" si="10"/>
        <v>0.43959112499999997</v>
      </c>
      <c r="P19" s="423"/>
      <c r="Q19" s="422">
        <v>35</v>
      </c>
      <c r="R19" s="412"/>
      <c r="S19" s="504">
        <f t="shared" si="11"/>
        <v>4</v>
      </c>
      <c r="T19" s="412"/>
      <c r="U19" s="250"/>
      <c r="V19" s="376">
        <f t="shared" si="12"/>
        <v>0</v>
      </c>
      <c r="W19" s="649">
        <f t="shared" si="19"/>
        <v>1.4064903846153847</v>
      </c>
      <c r="X19" s="610">
        <f t="shared" si="3"/>
        <v>2.078125</v>
      </c>
      <c r="Y19" s="526">
        <v>32.5</v>
      </c>
      <c r="Z19" s="529">
        <v>1.2</v>
      </c>
      <c r="AA19" s="530">
        <v>3</v>
      </c>
      <c r="AB19" s="514">
        <f t="shared" si="13"/>
        <v>1.625</v>
      </c>
      <c r="AC19" s="396">
        <f t="shared" si="14"/>
        <v>2.1875</v>
      </c>
      <c r="AD19" s="394">
        <f t="shared" si="15"/>
        <v>1.96875</v>
      </c>
      <c r="AE19" s="394">
        <f t="shared" si="16"/>
        <v>2.734375</v>
      </c>
      <c r="AF19" s="400"/>
      <c r="AG19" s="383">
        <f>'All Vars D1.x'!U10</f>
        <v>780</v>
      </c>
      <c r="AH19" s="384">
        <f t="shared" si="17"/>
        <v>98.25</v>
      </c>
      <c r="AI19" s="385" t="e">
        <f t="shared" si="4"/>
        <v>#DIV/0!</v>
      </c>
      <c r="AJ19" s="385" t="e">
        <f t="shared" si="5"/>
        <v>#DIV/0!</v>
      </c>
      <c r="AK19" s="386" t="e">
        <f t="shared" si="6"/>
        <v>#DIV/0!</v>
      </c>
      <c r="AL19" s="3"/>
      <c r="AQ19" s="16"/>
      <c r="AR19" s="3"/>
      <c r="AS19" s="186"/>
      <c r="AT19" s="187" t="s">
        <v>193</v>
      </c>
      <c r="AU19" s="100" t="s">
        <v>199</v>
      </c>
      <c r="AV19" s="3"/>
      <c r="AW19" s="3"/>
      <c r="AX19" s="3"/>
      <c r="AY19" s="3"/>
      <c r="AZ19" s="17"/>
      <c r="BA19" s="6" t="s">
        <v>201</v>
      </c>
    </row>
    <row r="20" spans="1:52" ht="13.5" thickBot="1">
      <c r="A20" s="717" t="s">
        <v>24</v>
      </c>
      <c r="B20" s="718"/>
      <c r="C20" s="6"/>
      <c r="D20" s="175">
        <f t="shared" si="18"/>
        <v>1.75</v>
      </c>
      <c r="E20" s="408">
        <v>1.75</v>
      </c>
      <c r="F20" s="391"/>
      <c r="G20" s="600">
        <f t="shared" si="7"/>
        <v>2</v>
      </c>
      <c r="H20" s="600">
        <f t="shared" si="8"/>
        <v>0</v>
      </c>
      <c r="I20" s="249">
        <v>1.5</v>
      </c>
      <c r="J20" s="367">
        <v>1.25</v>
      </c>
      <c r="K20" s="368">
        <f t="shared" si="21"/>
        <v>0.420375</v>
      </c>
      <c r="L20" s="411">
        <f t="shared" si="22"/>
        <v>37.77358490566038</v>
      </c>
      <c r="M20" s="411">
        <f t="shared" si="23"/>
        <v>70.15094339622642</v>
      </c>
      <c r="N20" s="104">
        <f t="shared" si="24"/>
        <v>0</v>
      </c>
      <c r="O20" s="244">
        <f t="shared" si="10"/>
        <v>0.45019312499999997</v>
      </c>
      <c r="P20" s="423"/>
      <c r="Q20" s="422">
        <v>35</v>
      </c>
      <c r="R20" s="412"/>
      <c r="S20" s="504">
        <f t="shared" si="11"/>
        <v>4</v>
      </c>
      <c r="T20" s="412"/>
      <c r="U20" s="250"/>
      <c r="V20" s="376">
        <f t="shared" si="12"/>
        <v>0</v>
      </c>
      <c r="W20" s="649">
        <f t="shared" si="19"/>
        <v>1.3788461538461538</v>
      </c>
      <c r="X20" s="610">
        <f t="shared" si="3"/>
        <v>2.01875</v>
      </c>
      <c r="Y20" s="526">
        <v>32.4</v>
      </c>
      <c r="Z20" s="529">
        <v>1.2</v>
      </c>
      <c r="AA20" s="530">
        <v>3</v>
      </c>
      <c r="AB20" s="514">
        <f t="shared" si="13"/>
        <v>1.75</v>
      </c>
      <c r="AC20" s="396">
        <f t="shared" si="14"/>
        <v>2.125</v>
      </c>
      <c r="AD20" s="394">
        <f t="shared" si="15"/>
        <v>1.9125</v>
      </c>
      <c r="AE20" s="394">
        <f t="shared" si="16"/>
        <v>2.65625</v>
      </c>
      <c r="AF20" s="400"/>
      <c r="AG20" s="383">
        <f>'All Vars D1.x'!U11</f>
        <v>900</v>
      </c>
      <c r="AH20" s="384">
        <f t="shared" si="17"/>
        <v>113.25</v>
      </c>
      <c r="AI20" s="385" t="e">
        <f t="shared" si="4"/>
        <v>#DIV/0!</v>
      </c>
      <c r="AJ20" s="385" t="e">
        <f t="shared" si="5"/>
        <v>#DIV/0!</v>
      </c>
      <c r="AK20" s="386" t="e">
        <f t="shared" si="6"/>
        <v>#DIV/0!</v>
      </c>
      <c r="AL20" s="3"/>
      <c r="AP20" s="26"/>
      <c r="AQ20" s="164" t="s">
        <v>194</v>
      </c>
      <c r="AR20" s="3"/>
      <c r="AS20" s="188" t="s">
        <v>195</v>
      </c>
      <c r="AU20" s="16"/>
      <c r="AV20" s="3"/>
      <c r="AW20" s="30" t="s">
        <v>194</v>
      </c>
      <c r="AX20" s="3"/>
      <c r="AY20" s="19" t="s">
        <v>200</v>
      </c>
      <c r="AZ20" s="17"/>
    </row>
    <row r="21" spans="1:52" ht="13.5" thickBot="1">
      <c r="A21" s="16"/>
      <c r="B21" s="3"/>
      <c r="C21" s="81"/>
      <c r="D21" s="175">
        <f t="shared" si="18"/>
        <v>1.875</v>
      </c>
      <c r="E21" s="408">
        <f t="shared" si="20"/>
        <v>1.875</v>
      </c>
      <c r="F21" s="391"/>
      <c r="G21" s="600">
        <f t="shared" si="7"/>
        <v>2</v>
      </c>
      <c r="H21" s="600">
        <f t="shared" si="8"/>
        <v>0</v>
      </c>
      <c r="I21" s="249">
        <v>1.5</v>
      </c>
      <c r="J21" s="367">
        <v>1</v>
      </c>
      <c r="K21" s="368">
        <f t="shared" si="21"/>
        <v>0.3363</v>
      </c>
      <c r="L21" s="411">
        <f t="shared" si="22"/>
        <v>40.13443396226415</v>
      </c>
      <c r="M21" s="411">
        <f t="shared" si="23"/>
        <v>74.53537735849056</v>
      </c>
      <c r="N21" s="104">
        <f t="shared" si="24"/>
        <v>0</v>
      </c>
      <c r="O21" s="244">
        <f t="shared" si="10"/>
        <v>0.5097794999999999</v>
      </c>
      <c r="P21" s="423"/>
      <c r="Q21" s="422">
        <v>35</v>
      </c>
      <c r="R21" s="412"/>
      <c r="S21" s="504">
        <f t="shared" si="11"/>
        <v>4</v>
      </c>
      <c r="T21" s="412"/>
      <c r="U21" s="250"/>
      <c r="V21" s="376">
        <f t="shared" si="12"/>
        <v>0</v>
      </c>
      <c r="W21" s="649">
        <f t="shared" si="19"/>
        <v>1.3512019230769232</v>
      </c>
      <c r="X21" s="610">
        <f t="shared" si="3"/>
        <v>1.9593749999999999</v>
      </c>
      <c r="Y21" s="526">
        <v>32.7</v>
      </c>
      <c r="Z21" s="529">
        <v>1.2</v>
      </c>
      <c r="AA21" s="530">
        <v>3</v>
      </c>
      <c r="AB21" s="514">
        <f t="shared" si="13"/>
        <v>1.875</v>
      </c>
      <c r="AC21" s="396">
        <f t="shared" si="14"/>
        <v>2.0625</v>
      </c>
      <c r="AD21" s="394">
        <f t="shared" si="15"/>
        <v>1.85625</v>
      </c>
      <c r="AE21" s="394">
        <f t="shared" si="16"/>
        <v>2.578125</v>
      </c>
      <c r="AF21" s="400"/>
      <c r="AG21" s="383">
        <f>'All Vars D1.x'!U12</f>
        <v>900</v>
      </c>
      <c r="AH21" s="384">
        <f t="shared" si="17"/>
        <v>113.25</v>
      </c>
      <c r="AI21" s="385" t="e">
        <f t="shared" si="4"/>
        <v>#DIV/0!</v>
      </c>
      <c r="AJ21" s="385" t="e">
        <f t="shared" si="5"/>
        <v>#DIV/0!</v>
      </c>
      <c r="AK21" s="386" t="e">
        <f t="shared" si="6"/>
        <v>#DIV/0!</v>
      </c>
      <c r="AL21" s="3"/>
      <c r="AP21" s="27"/>
      <c r="AQ21" s="192" t="s">
        <v>196</v>
      </c>
      <c r="AR21" s="120"/>
      <c r="AS21" s="183" t="s">
        <v>197</v>
      </c>
      <c r="AU21" s="118"/>
      <c r="AV21" s="120"/>
      <c r="AW21" s="120" t="s">
        <v>202</v>
      </c>
      <c r="AX21" s="120"/>
      <c r="AY21" s="189" t="s">
        <v>203</v>
      </c>
      <c r="AZ21" s="121"/>
    </row>
    <row r="22" spans="1:42" ht="13.5" thickBot="1">
      <c r="A22" s="541" t="s">
        <v>157</v>
      </c>
      <c r="B22" s="465"/>
      <c r="C22" s="82"/>
      <c r="D22" s="175">
        <f t="shared" si="18"/>
        <v>2</v>
      </c>
      <c r="E22" s="408">
        <f t="shared" si="20"/>
        <v>2</v>
      </c>
      <c r="F22" s="391" t="s">
        <v>183</v>
      </c>
      <c r="G22" s="600">
        <f t="shared" si="7"/>
        <v>2</v>
      </c>
      <c r="H22" s="600">
        <f t="shared" si="8"/>
        <v>0</v>
      </c>
      <c r="I22" s="249">
        <v>1.5</v>
      </c>
      <c r="J22" s="367">
        <v>1</v>
      </c>
      <c r="K22" s="368">
        <f t="shared" si="21"/>
        <v>0.3363</v>
      </c>
      <c r="L22" s="411">
        <f t="shared" si="22"/>
        <v>42.49528301886792</v>
      </c>
      <c r="M22" s="411">
        <f t="shared" si="23"/>
        <v>78.91981132075472</v>
      </c>
      <c r="N22" s="104">
        <f t="shared" si="24"/>
        <v>0</v>
      </c>
      <c r="O22" s="244">
        <f t="shared" si="10"/>
        <v>0.5454045</v>
      </c>
      <c r="P22" s="423"/>
      <c r="Q22" s="422">
        <v>35</v>
      </c>
      <c r="R22" s="412"/>
      <c r="S22" s="504">
        <f t="shared" si="11"/>
        <v>4</v>
      </c>
      <c r="T22" s="412"/>
      <c r="U22" s="250"/>
      <c r="V22" s="376">
        <f t="shared" si="12"/>
        <v>0</v>
      </c>
      <c r="W22" s="649">
        <f t="shared" si="19"/>
        <v>1.3235576923076924</v>
      </c>
      <c r="X22" s="610">
        <f t="shared" si="3"/>
        <v>1.9</v>
      </c>
      <c r="Y22" s="526">
        <v>33</v>
      </c>
      <c r="Z22" s="529">
        <v>1.2</v>
      </c>
      <c r="AA22" s="530">
        <v>3</v>
      </c>
      <c r="AB22" s="514">
        <f t="shared" si="13"/>
        <v>2</v>
      </c>
      <c r="AC22" s="396">
        <f t="shared" si="14"/>
        <v>2</v>
      </c>
      <c r="AD22" s="394">
        <f t="shared" si="15"/>
        <v>1.8</v>
      </c>
      <c r="AE22" s="394">
        <f t="shared" si="16"/>
        <v>2.5</v>
      </c>
      <c r="AF22" s="400"/>
      <c r="AG22" s="383">
        <f>'All Vars D1.x'!U13</f>
        <v>900</v>
      </c>
      <c r="AH22" s="384">
        <f t="shared" si="17"/>
        <v>113.25</v>
      </c>
      <c r="AI22" s="385" t="e">
        <f t="shared" si="4"/>
        <v>#DIV/0!</v>
      </c>
      <c r="AJ22" s="385" t="e">
        <f t="shared" si="5"/>
        <v>#DIV/0!</v>
      </c>
      <c r="AK22" s="386" t="e">
        <f t="shared" si="6"/>
        <v>#DIV/0!</v>
      </c>
      <c r="AL22" s="3"/>
      <c r="AP22" s="15"/>
    </row>
    <row r="23" spans="1:49" ht="13.5" thickBot="1">
      <c r="A23" s="468">
        <v>1.1</v>
      </c>
      <c r="B23" s="469"/>
      <c r="C23" s="3"/>
      <c r="D23" s="175">
        <f t="shared" si="18"/>
        <v>2.125</v>
      </c>
      <c r="E23" s="408">
        <v>2</v>
      </c>
      <c r="F23" s="391"/>
      <c r="G23" s="600">
        <f t="shared" si="7"/>
        <v>2</v>
      </c>
      <c r="H23" s="600">
        <f t="shared" si="8"/>
        <v>0</v>
      </c>
      <c r="I23" s="249">
        <v>1.5</v>
      </c>
      <c r="J23" s="367">
        <v>1</v>
      </c>
      <c r="K23" s="368">
        <f t="shared" si="21"/>
        <v>0.3363</v>
      </c>
      <c r="L23" s="411">
        <f t="shared" si="22"/>
        <v>44.85613207547169</v>
      </c>
      <c r="M23" s="411">
        <f t="shared" si="23"/>
        <v>83.30424528301887</v>
      </c>
      <c r="N23" s="104">
        <f t="shared" si="24"/>
        <v>0</v>
      </c>
      <c r="O23" s="244">
        <f t="shared" si="10"/>
        <v>0.5810295</v>
      </c>
      <c r="P23" s="423"/>
      <c r="Q23" s="422">
        <v>35</v>
      </c>
      <c r="R23" s="412"/>
      <c r="S23" s="504">
        <f t="shared" si="11"/>
        <v>4</v>
      </c>
      <c r="T23" s="412"/>
      <c r="U23" s="250"/>
      <c r="V23" s="376">
        <f t="shared" si="12"/>
        <v>0</v>
      </c>
      <c r="W23" s="649">
        <f t="shared" si="19"/>
        <v>1.2959134615384615</v>
      </c>
      <c r="X23" s="610">
        <f t="shared" si="3"/>
        <v>1.8703124999999998</v>
      </c>
      <c r="Y23" s="526">
        <v>33.3</v>
      </c>
      <c r="Z23" s="529">
        <v>1.2</v>
      </c>
      <c r="AA23" s="530">
        <v>3</v>
      </c>
      <c r="AB23" s="514">
        <f t="shared" si="13"/>
        <v>2.0625</v>
      </c>
      <c r="AC23" s="396">
        <f t="shared" si="14"/>
        <v>1.96875</v>
      </c>
      <c r="AD23" s="394">
        <f t="shared" si="15"/>
        <v>1.771875</v>
      </c>
      <c r="AE23" s="394">
        <f t="shared" si="16"/>
        <v>2.4609375</v>
      </c>
      <c r="AF23" s="400"/>
      <c r="AG23" s="383">
        <f>'All Vars D1.x'!U14</f>
        <v>900</v>
      </c>
      <c r="AH23" s="384">
        <f t="shared" si="17"/>
        <v>113.25</v>
      </c>
      <c r="AI23" s="385" t="e">
        <f t="shared" si="4"/>
        <v>#DIV/0!</v>
      </c>
      <c r="AJ23" s="385" t="e">
        <f t="shared" si="5"/>
        <v>#DIV/0!</v>
      </c>
      <c r="AK23" s="386" t="e">
        <f t="shared" si="6"/>
        <v>#DIV/0!</v>
      </c>
      <c r="AL23" s="3"/>
      <c r="AP23" s="19"/>
      <c r="AQ23" s="58"/>
      <c r="AR23" s="45" t="s">
        <v>204</v>
      </c>
      <c r="AS23" s="28"/>
      <c r="AT23" s="28"/>
      <c r="AU23" s="28"/>
      <c r="AV23" s="28"/>
      <c r="AW23" s="46"/>
    </row>
    <row r="24" spans="1:49" ht="12.75">
      <c r="A24" s="56" t="s">
        <v>334</v>
      </c>
      <c r="B24" s="450">
        <v>0.35</v>
      </c>
      <c r="C24" s="6"/>
      <c r="D24" s="175">
        <f t="shared" si="18"/>
        <v>2.25</v>
      </c>
      <c r="E24" s="408">
        <f t="shared" si="20"/>
        <v>2.25</v>
      </c>
      <c r="F24" s="391"/>
      <c r="G24" s="600">
        <f t="shared" si="7"/>
        <v>2</v>
      </c>
      <c r="H24" s="600">
        <f t="shared" si="8"/>
        <v>0</v>
      </c>
      <c r="I24" s="249">
        <v>1.5</v>
      </c>
      <c r="J24" s="367">
        <v>1</v>
      </c>
      <c r="K24" s="368">
        <f t="shared" si="21"/>
        <v>0.3363</v>
      </c>
      <c r="L24" s="411">
        <f t="shared" si="22"/>
        <v>47.21698113207547</v>
      </c>
      <c r="M24" s="411">
        <f t="shared" si="23"/>
        <v>87.68867924528303</v>
      </c>
      <c r="N24" s="104">
        <f t="shared" si="24"/>
        <v>0</v>
      </c>
      <c r="O24" s="244">
        <f t="shared" si="10"/>
        <v>0.6166544999999999</v>
      </c>
      <c r="P24" s="423"/>
      <c r="Q24" s="422">
        <v>35</v>
      </c>
      <c r="R24" s="412"/>
      <c r="S24" s="504">
        <f t="shared" si="11"/>
        <v>4</v>
      </c>
      <c r="T24" s="412"/>
      <c r="U24" s="250"/>
      <c r="V24" s="376">
        <f t="shared" si="12"/>
        <v>0</v>
      </c>
      <c r="W24" s="649">
        <f t="shared" si="19"/>
        <v>1.268269230769231</v>
      </c>
      <c r="X24" s="610">
        <f t="shared" si="3"/>
        <v>1.78125</v>
      </c>
      <c r="Y24" s="526">
        <v>33.6</v>
      </c>
      <c r="Z24" s="529">
        <v>1.2</v>
      </c>
      <c r="AA24" s="530">
        <v>3</v>
      </c>
      <c r="AB24" s="514">
        <f t="shared" si="13"/>
        <v>2.25</v>
      </c>
      <c r="AC24" s="396">
        <f t="shared" si="14"/>
        <v>1.875</v>
      </c>
      <c r="AD24" s="394">
        <f t="shared" si="15"/>
        <v>1.6875</v>
      </c>
      <c r="AE24" s="394">
        <f t="shared" si="16"/>
        <v>2.34375</v>
      </c>
      <c r="AF24" s="400"/>
      <c r="AG24" s="383">
        <f>'All Vars D1.x'!U15</f>
        <v>1000</v>
      </c>
      <c r="AH24" s="384">
        <f t="shared" si="17"/>
        <v>125.75</v>
      </c>
      <c r="AI24" s="385" t="e">
        <f t="shared" si="4"/>
        <v>#DIV/0!</v>
      </c>
      <c r="AJ24" s="385" t="e">
        <f t="shared" si="5"/>
        <v>#DIV/0!</v>
      </c>
      <c r="AK24" s="386" t="e">
        <f t="shared" si="6"/>
        <v>#DIV/0!</v>
      </c>
      <c r="AL24" s="3"/>
      <c r="AP24" s="8"/>
      <c r="AQ24" s="100" t="s">
        <v>205</v>
      </c>
      <c r="AR24" s="3"/>
      <c r="AS24" s="3"/>
      <c r="AT24" s="3"/>
      <c r="AU24" s="3"/>
      <c r="AV24" s="3"/>
      <c r="AW24" s="17"/>
    </row>
    <row r="25" spans="1:50" ht="12.75">
      <c r="A25" s="425"/>
      <c r="B25" s="451"/>
      <c r="C25" s="6"/>
      <c r="D25" s="175">
        <f t="shared" si="18"/>
        <v>2.375</v>
      </c>
      <c r="E25" s="408">
        <f t="shared" si="20"/>
        <v>2.375</v>
      </c>
      <c r="F25" s="391"/>
      <c r="G25" s="600">
        <f t="shared" si="7"/>
        <v>2</v>
      </c>
      <c r="H25" s="600">
        <f t="shared" si="8"/>
        <v>0</v>
      </c>
      <c r="I25" s="249">
        <v>2.125</v>
      </c>
      <c r="J25" s="367">
        <v>1</v>
      </c>
      <c r="K25" s="368">
        <f t="shared" si="21"/>
        <v>0.356825</v>
      </c>
      <c r="L25" s="411">
        <f t="shared" si="22"/>
        <v>49.57783018867924</v>
      </c>
      <c r="M25" s="411">
        <f t="shared" si="23"/>
        <v>92.07311320754717</v>
      </c>
      <c r="N25" s="104">
        <f t="shared" si="24"/>
        <v>0</v>
      </c>
      <c r="O25" s="244">
        <f t="shared" si="10"/>
        <v>0.6464298749999999</v>
      </c>
      <c r="P25" s="423"/>
      <c r="Q25" s="422">
        <v>35</v>
      </c>
      <c r="R25" s="412"/>
      <c r="S25" s="504">
        <f t="shared" si="11"/>
        <v>4</v>
      </c>
      <c r="T25" s="412"/>
      <c r="U25" s="250"/>
      <c r="V25" s="376">
        <f t="shared" si="12"/>
        <v>0</v>
      </c>
      <c r="W25" s="649">
        <f t="shared" si="19"/>
        <v>1.240625</v>
      </c>
      <c r="X25" s="610">
        <f t="shared" si="3"/>
        <v>1.7218749999999998</v>
      </c>
      <c r="Y25" s="526">
        <v>32.8</v>
      </c>
      <c r="Z25" s="529">
        <v>1.2</v>
      </c>
      <c r="AA25" s="530">
        <v>3</v>
      </c>
      <c r="AB25" s="514">
        <f t="shared" si="13"/>
        <v>2.375</v>
      </c>
      <c r="AC25" s="396">
        <f t="shared" si="14"/>
        <v>1.8125</v>
      </c>
      <c r="AD25" s="394">
        <f t="shared" si="15"/>
        <v>1.63125</v>
      </c>
      <c r="AE25" s="394">
        <f t="shared" si="16"/>
        <v>2.265625</v>
      </c>
      <c r="AF25" s="400"/>
      <c r="AG25" s="383">
        <f>'All Vars D1.x'!U16</f>
        <v>1000</v>
      </c>
      <c r="AH25" s="384">
        <f t="shared" si="17"/>
        <v>125.75</v>
      </c>
      <c r="AI25" s="385" t="e">
        <f t="shared" si="4"/>
        <v>#DIV/0!</v>
      </c>
      <c r="AJ25" s="385" t="e">
        <f t="shared" si="5"/>
        <v>#DIV/0!</v>
      </c>
      <c r="AK25" s="386" t="e">
        <f t="shared" si="6"/>
        <v>#DIV/0!</v>
      </c>
      <c r="AL25" s="3"/>
      <c r="AP25" s="3"/>
      <c r="AQ25" s="16" t="s">
        <v>206</v>
      </c>
      <c r="AR25" s="3"/>
      <c r="AS25" s="3"/>
      <c r="AT25" s="3"/>
      <c r="AU25" s="3"/>
      <c r="AV25" s="3"/>
      <c r="AW25" s="188" t="s">
        <v>200</v>
      </c>
      <c r="AX25" s="187" t="s">
        <v>207</v>
      </c>
    </row>
    <row r="26" spans="1:49" ht="13.5" thickBot="1">
      <c r="A26" s="98" t="s">
        <v>332</v>
      </c>
      <c r="B26" s="452">
        <v>26</v>
      </c>
      <c r="C26" s="6"/>
      <c r="D26" s="175">
        <f t="shared" si="18"/>
        <v>2.5</v>
      </c>
      <c r="E26" s="408">
        <f t="shared" si="20"/>
        <v>2.5</v>
      </c>
      <c r="F26" s="391"/>
      <c r="G26" s="600">
        <f t="shared" si="7"/>
        <v>2</v>
      </c>
      <c r="H26" s="600">
        <f t="shared" si="8"/>
        <v>0</v>
      </c>
      <c r="I26" s="249">
        <v>2.125</v>
      </c>
      <c r="J26" s="367">
        <v>1</v>
      </c>
      <c r="K26" s="368">
        <f t="shared" si="21"/>
        <v>0.356825</v>
      </c>
      <c r="L26" s="411">
        <f t="shared" si="22"/>
        <v>51.93867924528301</v>
      </c>
      <c r="M26" s="411">
        <f t="shared" si="23"/>
        <v>96.45754716981132</v>
      </c>
      <c r="N26" s="104">
        <f t="shared" si="24"/>
        <v>0</v>
      </c>
      <c r="O26" s="244">
        <f t="shared" si="10"/>
        <v>0.6820548749999998</v>
      </c>
      <c r="P26" s="423"/>
      <c r="Q26" s="422">
        <v>35</v>
      </c>
      <c r="R26" s="412"/>
      <c r="S26" s="504">
        <f t="shared" si="11"/>
        <v>4</v>
      </c>
      <c r="T26" s="412"/>
      <c r="U26" s="250"/>
      <c r="V26" s="376">
        <f t="shared" si="12"/>
        <v>0</v>
      </c>
      <c r="W26" s="649">
        <f t="shared" si="19"/>
        <v>1.2129807692307693</v>
      </c>
      <c r="X26" s="610">
        <f t="shared" si="3"/>
        <v>1.6624999999999999</v>
      </c>
      <c r="Y26" s="526">
        <v>33</v>
      </c>
      <c r="Z26" s="529">
        <v>1.2</v>
      </c>
      <c r="AA26" s="530">
        <v>3</v>
      </c>
      <c r="AB26" s="514">
        <f t="shared" si="13"/>
        <v>2.5</v>
      </c>
      <c r="AC26" s="396">
        <f t="shared" si="14"/>
        <v>1.75</v>
      </c>
      <c r="AD26" s="394">
        <f t="shared" si="15"/>
        <v>1.575</v>
      </c>
      <c r="AE26" s="394">
        <f t="shared" si="16"/>
        <v>2.1875</v>
      </c>
      <c r="AF26" s="400"/>
      <c r="AG26" s="383">
        <f>'All Vars D1.x'!U17</f>
        <v>1000</v>
      </c>
      <c r="AH26" s="384">
        <f t="shared" si="17"/>
        <v>125.75</v>
      </c>
      <c r="AI26" s="385" t="e">
        <f t="shared" si="4"/>
        <v>#DIV/0!</v>
      </c>
      <c r="AJ26" s="385" t="e">
        <f t="shared" si="5"/>
        <v>#DIV/0!</v>
      </c>
      <c r="AK26" s="386" t="e">
        <f t="shared" si="6"/>
        <v>#DIV/0!</v>
      </c>
      <c r="AL26" s="3"/>
      <c r="AP26" s="12"/>
      <c r="AQ26" s="118"/>
      <c r="AR26" s="120"/>
      <c r="AS26" s="120" t="s">
        <v>202</v>
      </c>
      <c r="AT26" s="120"/>
      <c r="AU26" s="120"/>
      <c r="AV26" s="120"/>
      <c r="AW26" s="183" t="s">
        <v>203</v>
      </c>
    </row>
    <row r="27" spans="1:49" ht="12.75">
      <c r="A27" s="544" t="s">
        <v>333</v>
      </c>
      <c r="B27" s="453">
        <v>0.53</v>
      </c>
      <c r="C27" s="9"/>
      <c r="D27" s="175">
        <f t="shared" si="18"/>
        <v>2.625</v>
      </c>
      <c r="E27" s="408">
        <f t="shared" si="20"/>
        <v>2.625</v>
      </c>
      <c r="F27" s="391"/>
      <c r="G27" s="600">
        <f t="shared" si="7"/>
        <v>2</v>
      </c>
      <c r="H27" s="600">
        <f t="shared" si="8"/>
        <v>0</v>
      </c>
      <c r="I27" s="249">
        <v>2.125</v>
      </c>
      <c r="J27" s="367">
        <v>1</v>
      </c>
      <c r="K27" s="368">
        <f t="shared" si="21"/>
        <v>0.356825</v>
      </c>
      <c r="L27" s="411">
        <f t="shared" si="22"/>
        <v>54.29952830188679</v>
      </c>
      <c r="M27" s="411">
        <f t="shared" si="23"/>
        <v>100.84198113207547</v>
      </c>
      <c r="N27" s="104">
        <f t="shared" si="24"/>
        <v>0</v>
      </c>
      <c r="O27" s="244">
        <f t="shared" si="10"/>
        <v>0.7176798749999999</v>
      </c>
      <c r="P27" s="423"/>
      <c r="Q27" s="422">
        <v>35</v>
      </c>
      <c r="R27" s="412"/>
      <c r="S27" s="504">
        <f t="shared" si="11"/>
        <v>4</v>
      </c>
      <c r="T27" s="412"/>
      <c r="U27" s="250"/>
      <c r="V27" s="376">
        <f t="shared" si="12"/>
        <v>0</v>
      </c>
      <c r="W27" s="649">
        <f t="shared" si="19"/>
        <v>1.1853365384615384</v>
      </c>
      <c r="X27" s="610">
        <f t="shared" si="3"/>
        <v>1.603125</v>
      </c>
      <c r="Y27" s="526">
        <v>33.2</v>
      </c>
      <c r="Z27" s="529">
        <v>1.2</v>
      </c>
      <c r="AA27" s="530">
        <v>3</v>
      </c>
      <c r="AB27" s="514">
        <f t="shared" si="13"/>
        <v>2.625</v>
      </c>
      <c r="AC27" s="396">
        <f t="shared" si="14"/>
        <v>1.6875</v>
      </c>
      <c r="AD27" s="394">
        <f t="shared" si="15"/>
        <v>1.51875</v>
      </c>
      <c r="AE27" s="394">
        <f t="shared" si="16"/>
        <v>2.109375</v>
      </c>
      <c r="AF27" s="400"/>
      <c r="AG27" s="383">
        <f>'All Vars D1.x'!U18</f>
        <v>1000</v>
      </c>
      <c r="AH27" s="384">
        <f t="shared" si="17"/>
        <v>125.75</v>
      </c>
      <c r="AI27" s="385" t="e">
        <f t="shared" si="4"/>
        <v>#DIV/0!</v>
      </c>
      <c r="AJ27" s="385" t="e">
        <f t="shared" si="5"/>
        <v>#DIV/0!</v>
      </c>
      <c r="AK27" s="386" t="e">
        <f t="shared" si="6"/>
        <v>#DIV/0!</v>
      </c>
      <c r="AL27" s="3"/>
      <c r="AP27" s="12"/>
      <c r="AQ27" s="3"/>
      <c r="AR27" s="3"/>
      <c r="AS27" s="3"/>
      <c r="AT27" s="3"/>
      <c r="AU27" s="3"/>
      <c r="AV27" s="3"/>
      <c r="AW27" s="3"/>
    </row>
    <row r="28" spans="1:46" ht="13.5" thickBot="1">
      <c r="A28" s="543" t="s">
        <v>33</v>
      </c>
      <c r="B28" s="542"/>
      <c r="C28" s="47"/>
      <c r="D28" s="175">
        <f t="shared" si="18"/>
        <v>2.75</v>
      </c>
      <c r="E28" s="408">
        <f t="shared" si="20"/>
        <v>2.75</v>
      </c>
      <c r="F28" s="391"/>
      <c r="G28" s="600">
        <f t="shared" si="7"/>
        <v>2</v>
      </c>
      <c r="H28" s="600">
        <f t="shared" si="8"/>
        <v>0</v>
      </c>
      <c r="I28" s="249">
        <v>2.5</v>
      </c>
      <c r="J28" s="367">
        <v>1</v>
      </c>
      <c r="K28" s="368">
        <f t="shared" si="21"/>
        <v>0.4485</v>
      </c>
      <c r="L28" s="411">
        <f t="shared" si="22"/>
        <v>56.66037735849057</v>
      </c>
      <c r="M28" s="411">
        <f t="shared" si="23"/>
        <v>105.22641509433964</v>
      </c>
      <c r="N28" s="104">
        <f t="shared" si="24"/>
        <v>0</v>
      </c>
      <c r="O28" s="244">
        <f t="shared" si="10"/>
        <v>0.7271774999999999</v>
      </c>
      <c r="P28" s="423"/>
      <c r="Q28" s="422">
        <v>35</v>
      </c>
      <c r="R28" s="412"/>
      <c r="S28" s="504">
        <f t="shared" si="11"/>
        <v>4</v>
      </c>
      <c r="T28" s="412"/>
      <c r="U28" s="250"/>
      <c r="V28" s="376">
        <f t="shared" si="12"/>
        <v>0</v>
      </c>
      <c r="W28" s="649">
        <f t="shared" si="19"/>
        <v>1.1576923076923078</v>
      </c>
      <c r="X28" s="610">
        <f t="shared" si="3"/>
        <v>1.54375</v>
      </c>
      <c r="Y28" s="526">
        <v>33.5</v>
      </c>
      <c r="Z28" s="529">
        <v>1.2</v>
      </c>
      <c r="AA28" s="530">
        <v>3</v>
      </c>
      <c r="AB28" s="514">
        <f t="shared" si="13"/>
        <v>2.75</v>
      </c>
      <c r="AC28" s="396">
        <f t="shared" si="14"/>
        <v>1.625</v>
      </c>
      <c r="AD28" s="394">
        <f t="shared" si="15"/>
        <v>1.4625000000000001</v>
      </c>
      <c r="AE28" s="394">
        <f t="shared" si="16"/>
        <v>2.03125</v>
      </c>
      <c r="AF28" s="400"/>
      <c r="AG28" s="383">
        <f>'All Vars D1.x'!U19</f>
        <v>1000</v>
      </c>
      <c r="AH28" s="384">
        <f t="shared" si="17"/>
        <v>125.75</v>
      </c>
      <c r="AI28" s="385" t="e">
        <f t="shared" si="4"/>
        <v>#DIV/0!</v>
      </c>
      <c r="AJ28" s="385" t="e">
        <f t="shared" si="5"/>
        <v>#DIV/0!</v>
      </c>
      <c r="AK28" s="386" t="e">
        <f t="shared" si="6"/>
        <v>#DIV/0!</v>
      </c>
      <c r="AL28" s="3"/>
      <c r="AP28" s="12"/>
      <c r="AT28" s="187" t="s">
        <v>208</v>
      </c>
    </row>
    <row r="29" spans="1:50" ht="12.75">
      <c r="A29" s="32" t="s">
        <v>32</v>
      </c>
      <c r="B29" s="470"/>
      <c r="C29" s="14"/>
      <c r="D29" s="175">
        <f t="shared" si="18"/>
        <v>2.875</v>
      </c>
      <c r="E29" s="408">
        <f t="shared" si="20"/>
        <v>2.875</v>
      </c>
      <c r="F29" s="391"/>
      <c r="G29" s="600">
        <f t="shared" si="7"/>
        <v>2</v>
      </c>
      <c r="H29" s="600">
        <f t="shared" si="8"/>
        <v>0</v>
      </c>
      <c r="I29" s="249">
        <v>2.5</v>
      </c>
      <c r="J29" s="367">
        <v>1</v>
      </c>
      <c r="K29" s="368">
        <f t="shared" si="21"/>
        <v>0.4485</v>
      </c>
      <c r="L29" s="411">
        <f t="shared" si="22"/>
        <v>59.02122641509434</v>
      </c>
      <c r="M29" s="411">
        <f t="shared" si="23"/>
        <v>109.61084905660378</v>
      </c>
      <c r="N29" s="104">
        <f t="shared" si="24"/>
        <v>0</v>
      </c>
      <c r="O29" s="244">
        <f t="shared" si="10"/>
        <v>0.7628024999999999</v>
      </c>
      <c r="P29" s="423"/>
      <c r="Q29" s="422">
        <v>35</v>
      </c>
      <c r="R29" s="412"/>
      <c r="S29" s="504">
        <f t="shared" si="11"/>
        <v>4</v>
      </c>
      <c r="T29" s="412"/>
      <c r="U29" s="250"/>
      <c r="V29" s="376">
        <f t="shared" si="12"/>
        <v>0</v>
      </c>
      <c r="W29" s="649">
        <f t="shared" si="19"/>
        <v>1.130048076923077</v>
      </c>
      <c r="X29" s="610">
        <f t="shared" si="3"/>
        <v>1.484375</v>
      </c>
      <c r="Y29" s="526">
        <v>32.6</v>
      </c>
      <c r="Z29" s="529">
        <v>1.2</v>
      </c>
      <c r="AA29" s="530">
        <v>3</v>
      </c>
      <c r="AB29" s="514">
        <f t="shared" si="13"/>
        <v>2.875</v>
      </c>
      <c r="AC29" s="396">
        <f t="shared" si="14"/>
        <v>1.5625</v>
      </c>
      <c r="AD29" s="394">
        <f t="shared" si="15"/>
        <v>1.40625</v>
      </c>
      <c r="AE29" s="394">
        <f t="shared" si="16"/>
        <v>1.953125</v>
      </c>
      <c r="AF29" s="400"/>
      <c r="AG29" s="383">
        <f>'All Vars D1.x'!U20</f>
        <v>1000</v>
      </c>
      <c r="AH29" s="384">
        <f t="shared" si="17"/>
        <v>125.75</v>
      </c>
      <c r="AI29" s="385" t="e">
        <f t="shared" si="4"/>
        <v>#DIV/0!</v>
      </c>
      <c r="AJ29" s="385" t="e">
        <f t="shared" si="5"/>
        <v>#DIV/0!</v>
      </c>
      <c r="AK29" s="386" t="e">
        <f t="shared" si="6"/>
        <v>#DIV/0!</v>
      </c>
      <c r="AL29" s="3"/>
      <c r="AP29" s="12"/>
      <c r="AQ29" s="58"/>
      <c r="AR29" s="28"/>
      <c r="AS29" s="45" t="s">
        <v>209</v>
      </c>
      <c r="AT29" s="28"/>
      <c r="AU29" s="28"/>
      <c r="AV29" s="28"/>
      <c r="AW29" s="28"/>
      <c r="AX29" s="46"/>
    </row>
    <row r="30" spans="1:50" ht="13.5" thickBot="1">
      <c r="A30" s="466" t="s">
        <v>17</v>
      </c>
      <c r="B30" s="467"/>
      <c r="C30" s="47"/>
      <c r="D30" s="175">
        <f t="shared" si="18"/>
        <v>3</v>
      </c>
      <c r="E30" s="408">
        <f t="shared" si="20"/>
        <v>3</v>
      </c>
      <c r="F30" s="391" t="s">
        <v>183</v>
      </c>
      <c r="G30" s="600">
        <f t="shared" si="7"/>
        <v>2</v>
      </c>
      <c r="H30" s="600">
        <f t="shared" si="8"/>
        <v>0</v>
      </c>
      <c r="I30" s="249">
        <v>2.5</v>
      </c>
      <c r="J30" s="367">
        <v>1</v>
      </c>
      <c r="K30" s="368">
        <f t="shared" si="9"/>
        <v>0.4485</v>
      </c>
      <c r="L30" s="411">
        <f t="shared" si="0"/>
        <v>61.382075471698116</v>
      </c>
      <c r="M30" s="411">
        <f t="shared" si="1"/>
        <v>113.99528301886794</v>
      </c>
      <c r="N30" s="104">
        <f t="shared" si="2"/>
        <v>0</v>
      </c>
      <c r="O30" s="244">
        <f t="shared" si="10"/>
        <v>0.7984274999999998</v>
      </c>
      <c r="P30" s="423"/>
      <c r="Q30" s="422">
        <v>35</v>
      </c>
      <c r="R30" s="412"/>
      <c r="S30" s="504">
        <f t="shared" si="11"/>
        <v>4</v>
      </c>
      <c r="T30" s="412"/>
      <c r="U30" s="250"/>
      <c r="V30" s="376">
        <f aca="true" t="shared" si="25" ref="V30:V54">O30*P30/($M$6*((G30-H30)+U30*H30))</f>
        <v>0</v>
      </c>
      <c r="W30" s="649">
        <f t="shared" si="19"/>
        <v>1.1024038461538461</v>
      </c>
      <c r="X30" s="610">
        <f t="shared" si="3"/>
        <v>1.4249999999999998</v>
      </c>
      <c r="Y30" s="526">
        <v>32.9</v>
      </c>
      <c r="Z30" s="529">
        <v>1.2</v>
      </c>
      <c r="AA30" s="530">
        <v>3</v>
      </c>
      <c r="AB30" s="514">
        <f t="shared" si="13"/>
        <v>3</v>
      </c>
      <c r="AC30" s="396">
        <f t="shared" si="14"/>
        <v>1.5</v>
      </c>
      <c r="AD30" s="394">
        <f t="shared" si="15"/>
        <v>1.35</v>
      </c>
      <c r="AE30" s="394">
        <f t="shared" si="16"/>
        <v>1.875</v>
      </c>
      <c r="AF30" s="400"/>
      <c r="AG30" s="383">
        <f>'All Vars D1.x'!U21</f>
        <v>1000</v>
      </c>
      <c r="AH30" s="384">
        <f t="shared" si="17"/>
        <v>125.75</v>
      </c>
      <c r="AI30" s="385" t="e">
        <f t="shared" si="4"/>
        <v>#DIV/0!</v>
      </c>
      <c r="AJ30" s="385" t="e">
        <f t="shared" si="5"/>
        <v>#DIV/0!</v>
      </c>
      <c r="AK30" s="386" t="e">
        <f t="shared" si="6"/>
        <v>#DIV/0!</v>
      </c>
      <c r="AL30" s="3"/>
      <c r="AP30" s="12"/>
      <c r="AQ30" s="118" t="s">
        <v>210</v>
      </c>
      <c r="AR30" s="120"/>
      <c r="AS30" s="120"/>
      <c r="AT30" s="120"/>
      <c r="AU30" s="120"/>
      <c r="AV30" s="120"/>
      <c r="AW30" s="120"/>
      <c r="AX30" s="121"/>
    </row>
    <row r="31" spans="1:47" ht="13.5" thickBot="1">
      <c r="A31" s="472">
        <v>6</v>
      </c>
      <c r="B31" s="473"/>
      <c r="C31" s="47"/>
      <c r="D31" s="175">
        <f t="shared" si="18"/>
        <v>3.125</v>
      </c>
      <c r="E31" s="408">
        <f t="shared" si="20"/>
        <v>3.125</v>
      </c>
      <c r="F31" s="391"/>
      <c r="G31" s="600">
        <f t="shared" si="7"/>
        <v>2</v>
      </c>
      <c r="H31" s="600">
        <f t="shared" si="8"/>
        <v>0</v>
      </c>
      <c r="I31" s="249">
        <v>2.5</v>
      </c>
      <c r="J31" s="367">
        <v>1</v>
      </c>
      <c r="K31" s="368">
        <f t="shared" si="9"/>
        <v>0.4485</v>
      </c>
      <c r="L31" s="411">
        <f t="shared" si="0"/>
        <v>63.742924528301884</v>
      </c>
      <c r="M31" s="411">
        <f t="shared" si="1"/>
        <v>118.37971698113209</v>
      </c>
      <c r="N31" s="104">
        <f t="shared" si="2"/>
        <v>0</v>
      </c>
      <c r="O31" s="244">
        <f t="shared" si="10"/>
        <v>0.8340524999999999</v>
      </c>
      <c r="P31" s="423"/>
      <c r="Q31" s="422">
        <v>35</v>
      </c>
      <c r="R31" s="412"/>
      <c r="S31" s="504">
        <f t="shared" si="11"/>
        <v>4</v>
      </c>
      <c r="T31" s="412"/>
      <c r="U31" s="250"/>
      <c r="V31" s="376">
        <f t="shared" si="25"/>
        <v>0</v>
      </c>
      <c r="W31" s="649">
        <f t="shared" si="19"/>
        <v>1.0747596153846155</v>
      </c>
      <c r="X31" s="610">
        <f t="shared" si="3"/>
        <v>1.3656249999999999</v>
      </c>
      <c r="Y31" s="526">
        <v>33.2</v>
      </c>
      <c r="Z31" s="529">
        <v>1.2</v>
      </c>
      <c r="AA31" s="530">
        <v>3</v>
      </c>
      <c r="AB31" s="514">
        <f t="shared" si="13"/>
        <v>3.125</v>
      </c>
      <c r="AC31" s="396">
        <f t="shared" si="14"/>
        <v>1.4375</v>
      </c>
      <c r="AD31" s="394">
        <f t="shared" si="15"/>
        <v>1.29375</v>
      </c>
      <c r="AE31" s="394">
        <f t="shared" si="16"/>
        <v>1.796875</v>
      </c>
      <c r="AF31" s="400"/>
      <c r="AG31" s="383">
        <f>'All Vars D1.x'!U22</f>
        <v>1000</v>
      </c>
      <c r="AH31" s="384">
        <f t="shared" si="17"/>
        <v>125.75</v>
      </c>
      <c r="AI31" s="385" t="e">
        <f t="shared" si="4"/>
        <v>#DIV/0!</v>
      </c>
      <c r="AJ31" s="385" t="e">
        <f t="shared" si="5"/>
        <v>#DIV/0!</v>
      </c>
      <c r="AK31" s="386" t="e">
        <f t="shared" si="6"/>
        <v>#DIV/0!</v>
      </c>
      <c r="AL31" s="3"/>
      <c r="AP31" s="12"/>
      <c r="AU31" s="85"/>
    </row>
    <row r="32" spans="1:48" ht="13.5" thickBot="1">
      <c r="A32" s="471"/>
      <c r="B32" s="14"/>
      <c r="C32" s="3"/>
      <c r="D32" s="175">
        <f t="shared" si="18"/>
        <v>3.25</v>
      </c>
      <c r="E32" s="408">
        <f t="shared" si="20"/>
        <v>3.25</v>
      </c>
      <c r="F32" s="391" t="s">
        <v>385</v>
      </c>
      <c r="G32" s="600">
        <f t="shared" si="7"/>
        <v>2</v>
      </c>
      <c r="H32" s="600">
        <f t="shared" si="8"/>
        <v>0</v>
      </c>
      <c r="I32" s="249">
        <v>3</v>
      </c>
      <c r="J32" s="367">
        <v>1</v>
      </c>
      <c r="K32" s="368">
        <f t="shared" si="9"/>
        <v>0.3886696</v>
      </c>
      <c r="L32" s="411">
        <f t="shared" si="0"/>
        <v>66.10377358490567</v>
      </c>
      <c r="M32" s="411">
        <f t="shared" si="1"/>
        <v>122.76415094339623</v>
      </c>
      <c r="N32" s="104">
        <f t="shared" si="2"/>
        <v>0</v>
      </c>
      <c r="O32" s="244">
        <f t="shared" si="10"/>
        <v>0.8867291639999999</v>
      </c>
      <c r="P32" s="423"/>
      <c r="Q32" s="422">
        <v>35</v>
      </c>
      <c r="R32" s="412"/>
      <c r="S32" s="504">
        <f t="shared" si="11"/>
        <v>4</v>
      </c>
      <c r="T32" s="412"/>
      <c r="U32" s="250"/>
      <c r="V32" s="376">
        <f t="shared" si="25"/>
        <v>0</v>
      </c>
      <c r="W32" s="649">
        <f t="shared" si="19"/>
        <v>1.0471153846153847</v>
      </c>
      <c r="X32" s="610">
        <f t="shared" si="3"/>
        <v>1.30625</v>
      </c>
      <c r="Y32" s="526">
        <v>32.8</v>
      </c>
      <c r="Z32" s="529">
        <v>1.2</v>
      </c>
      <c r="AA32" s="530">
        <v>3</v>
      </c>
      <c r="AB32" s="514">
        <f t="shared" si="13"/>
        <v>3.25</v>
      </c>
      <c r="AC32" s="396">
        <f t="shared" si="14"/>
        <v>1.375</v>
      </c>
      <c r="AD32" s="394">
        <f t="shared" si="15"/>
        <v>1.2375</v>
      </c>
      <c r="AE32" s="394">
        <f t="shared" si="16"/>
        <v>1.71875</v>
      </c>
      <c r="AF32" s="400"/>
      <c r="AG32" s="383">
        <f>'All Vars D1.x'!U23</f>
        <v>1000</v>
      </c>
      <c r="AH32" s="384">
        <f t="shared" si="17"/>
        <v>125.75</v>
      </c>
      <c r="AI32" s="385" t="e">
        <f t="shared" si="4"/>
        <v>#DIV/0!</v>
      </c>
      <c r="AJ32" s="385" t="e">
        <f t="shared" si="5"/>
        <v>#DIV/0!</v>
      </c>
      <c r="AK32" s="386" t="e">
        <f t="shared" si="6"/>
        <v>#DIV/0!</v>
      </c>
      <c r="AL32" s="3"/>
      <c r="AP32" s="12"/>
      <c r="AQ32" t="s">
        <v>211</v>
      </c>
      <c r="AU32" s="190">
        <v>370</v>
      </c>
      <c r="AV32" t="s">
        <v>212</v>
      </c>
    </row>
    <row r="33" spans="1:46" ht="12.75">
      <c r="A33" s="149" t="s">
        <v>129</v>
      </c>
      <c r="B33" s="150"/>
      <c r="C33" s="3"/>
      <c r="D33" s="175">
        <f t="shared" si="18"/>
        <v>3.375</v>
      </c>
      <c r="E33" s="408">
        <f t="shared" si="20"/>
        <v>3.375</v>
      </c>
      <c r="F33" s="391"/>
      <c r="G33" s="600">
        <f t="shared" si="7"/>
        <v>2</v>
      </c>
      <c r="H33" s="600">
        <f t="shared" si="8"/>
        <v>0</v>
      </c>
      <c r="I33" s="249">
        <v>3</v>
      </c>
      <c r="J33" s="367">
        <v>1</v>
      </c>
      <c r="K33" s="368">
        <f t="shared" si="9"/>
        <v>0.3886696</v>
      </c>
      <c r="L33" s="411">
        <f t="shared" si="0"/>
        <v>68.46462264150944</v>
      </c>
      <c r="M33" s="411">
        <f t="shared" si="1"/>
        <v>127.14858490566039</v>
      </c>
      <c r="N33" s="104">
        <f t="shared" si="2"/>
        <v>0</v>
      </c>
      <c r="O33" s="244">
        <f t="shared" si="10"/>
        <v>0.9223541639999999</v>
      </c>
      <c r="P33" s="423"/>
      <c r="Q33" s="422">
        <v>35</v>
      </c>
      <c r="R33" s="412"/>
      <c r="S33" s="504">
        <f t="shared" si="11"/>
        <v>4</v>
      </c>
      <c r="T33" s="412"/>
      <c r="U33" s="250"/>
      <c r="V33" s="376">
        <f t="shared" si="25"/>
        <v>0</v>
      </c>
      <c r="W33" s="649">
        <f t="shared" si="19"/>
        <v>1.0194711538461538</v>
      </c>
      <c r="X33" s="610">
        <f t="shared" si="3"/>
        <v>1.246875</v>
      </c>
      <c r="Y33" s="526">
        <v>33.1</v>
      </c>
      <c r="Z33" s="529">
        <v>1.2</v>
      </c>
      <c r="AA33" s="530">
        <v>3</v>
      </c>
      <c r="AB33" s="514">
        <f t="shared" si="13"/>
        <v>3.375</v>
      </c>
      <c r="AC33" s="396">
        <f t="shared" si="14"/>
        <v>1.3125</v>
      </c>
      <c r="AD33" s="394">
        <f t="shared" si="15"/>
        <v>1.1812500000000001</v>
      </c>
      <c r="AE33" s="394">
        <f t="shared" si="16"/>
        <v>1.640625</v>
      </c>
      <c r="AF33" s="400"/>
      <c r="AG33" s="383">
        <f>'All Vars D1.x'!U24</f>
        <v>1000</v>
      </c>
      <c r="AH33" s="384">
        <f t="shared" si="17"/>
        <v>125.75</v>
      </c>
      <c r="AI33" s="385" t="e">
        <f t="shared" si="4"/>
        <v>#DIV/0!</v>
      </c>
      <c r="AJ33" s="385" t="e">
        <f t="shared" si="5"/>
        <v>#DIV/0!</v>
      </c>
      <c r="AK33" s="386" t="e">
        <f t="shared" si="6"/>
        <v>#DIV/0!</v>
      </c>
      <c r="AL33" s="3"/>
      <c r="AP33" s="12"/>
      <c r="AQ33" t="s">
        <v>213</v>
      </c>
      <c r="AT33" s="101"/>
    </row>
    <row r="34" spans="1:43" ht="13.5" thickBot="1">
      <c r="A34" s="537">
        <v>1.5</v>
      </c>
      <c r="B34" s="538"/>
      <c r="C34" s="3"/>
      <c r="D34" s="175">
        <f t="shared" si="18"/>
        <v>3.5</v>
      </c>
      <c r="E34" s="408">
        <f t="shared" si="20"/>
        <v>3.5</v>
      </c>
      <c r="F34" s="391" t="s">
        <v>183</v>
      </c>
      <c r="G34" s="600">
        <f t="shared" si="7"/>
        <v>2</v>
      </c>
      <c r="H34" s="600">
        <f t="shared" si="8"/>
        <v>0</v>
      </c>
      <c r="I34" s="249">
        <v>3</v>
      </c>
      <c r="J34" s="367">
        <v>1</v>
      </c>
      <c r="K34" s="368">
        <f t="shared" si="9"/>
        <v>0.3886696</v>
      </c>
      <c r="L34" s="411">
        <f t="shared" si="0"/>
        <v>70.8254716981132</v>
      </c>
      <c r="M34" s="411">
        <f t="shared" si="1"/>
        <v>131.53301886792454</v>
      </c>
      <c r="N34" s="104">
        <f t="shared" si="2"/>
        <v>0</v>
      </c>
      <c r="O34" s="244">
        <f t="shared" si="10"/>
        <v>0.9579791639999999</v>
      </c>
      <c r="P34" s="423"/>
      <c r="Q34" s="422">
        <v>35</v>
      </c>
      <c r="R34" s="412"/>
      <c r="S34" s="504">
        <f t="shared" si="11"/>
        <v>4</v>
      </c>
      <c r="T34" s="412"/>
      <c r="U34" s="250"/>
      <c r="V34" s="376">
        <f t="shared" si="25"/>
        <v>0</v>
      </c>
      <c r="W34" s="649">
        <f t="shared" si="19"/>
        <v>0.9918269230769231</v>
      </c>
      <c r="X34" s="610">
        <f t="shared" si="3"/>
        <v>1.1875</v>
      </c>
      <c r="Y34" s="526">
        <v>33.4</v>
      </c>
      <c r="Z34" s="529">
        <v>1.2</v>
      </c>
      <c r="AA34" s="530">
        <v>3</v>
      </c>
      <c r="AB34" s="514">
        <f t="shared" si="13"/>
        <v>3.5</v>
      </c>
      <c r="AC34" s="396">
        <f t="shared" si="14"/>
        <v>1.25</v>
      </c>
      <c r="AD34" s="394">
        <f t="shared" si="15"/>
        <v>1.125</v>
      </c>
      <c r="AE34" s="394">
        <f t="shared" si="16"/>
        <v>1.5625</v>
      </c>
      <c r="AF34" s="400"/>
      <c r="AG34" s="383">
        <f>'All Vars D1.x'!U25</f>
        <v>1000</v>
      </c>
      <c r="AH34" s="384">
        <f t="shared" si="17"/>
        <v>125.75</v>
      </c>
      <c r="AI34" s="385" t="e">
        <f t="shared" si="4"/>
        <v>#DIV/0!</v>
      </c>
      <c r="AJ34" s="385" t="e">
        <f t="shared" si="5"/>
        <v>#DIV/0!</v>
      </c>
      <c r="AK34" s="386" t="e">
        <f t="shared" si="6"/>
        <v>#DIV/0!</v>
      </c>
      <c r="AL34" s="3"/>
      <c r="AP34" s="12"/>
      <c r="AQ34" t="s">
        <v>214</v>
      </c>
    </row>
    <row r="35" spans="3:43" ht="13.5" thickBot="1">
      <c r="C35" s="3"/>
      <c r="D35" s="175">
        <f t="shared" si="18"/>
        <v>3.625</v>
      </c>
      <c r="E35" s="408">
        <f t="shared" si="20"/>
        <v>3.625</v>
      </c>
      <c r="F35" s="391"/>
      <c r="G35" s="600">
        <f t="shared" si="7"/>
        <v>2</v>
      </c>
      <c r="H35" s="600">
        <f t="shared" si="8"/>
        <v>0</v>
      </c>
      <c r="I35" s="249">
        <v>3</v>
      </c>
      <c r="J35" s="367">
        <v>1</v>
      </c>
      <c r="K35" s="368">
        <f t="shared" si="9"/>
        <v>0.3886696</v>
      </c>
      <c r="L35" s="411">
        <f t="shared" si="0"/>
        <v>73.18632075471697</v>
      </c>
      <c r="M35" s="411">
        <f t="shared" si="1"/>
        <v>135.9174528301887</v>
      </c>
      <c r="N35" s="104">
        <f t="shared" si="2"/>
        <v>0</v>
      </c>
      <c r="O35" s="244">
        <f t="shared" si="10"/>
        <v>0.9936041639999998</v>
      </c>
      <c r="P35" s="423"/>
      <c r="Q35" s="422">
        <v>35</v>
      </c>
      <c r="R35" s="412"/>
      <c r="S35" s="504">
        <f t="shared" si="11"/>
        <v>4</v>
      </c>
      <c r="T35" s="412"/>
      <c r="U35" s="250"/>
      <c r="V35" s="376">
        <f t="shared" si="25"/>
        <v>0</v>
      </c>
      <c r="W35" s="649">
        <f t="shared" si="19"/>
        <v>0.9641826923076924</v>
      </c>
      <c r="X35" s="610">
        <f t="shared" si="3"/>
        <v>1.128125</v>
      </c>
      <c r="Y35" s="526">
        <v>33.7</v>
      </c>
      <c r="Z35" s="529">
        <v>1.2</v>
      </c>
      <c r="AA35" s="530">
        <v>3</v>
      </c>
      <c r="AB35" s="514">
        <f t="shared" si="13"/>
        <v>3.625</v>
      </c>
      <c r="AC35" s="396">
        <f t="shared" si="14"/>
        <v>1.1875</v>
      </c>
      <c r="AD35" s="394">
        <f t="shared" si="15"/>
        <v>1.06875</v>
      </c>
      <c r="AE35" s="394">
        <f t="shared" si="16"/>
        <v>1.484375</v>
      </c>
      <c r="AF35" s="400"/>
      <c r="AG35" s="383">
        <f>'All Vars D1.x'!U26</f>
        <v>1000</v>
      </c>
      <c r="AH35" s="384">
        <f t="shared" si="17"/>
        <v>125.75</v>
      </c>
      <c r="AI35" s="385" t="e">
        <f t="shared" si="4"/>
        <v>#DIV/0!</v>
      </c>
      <c r="AJ35" s="385" t="e">
        <f t="shared" si="5"/>
        <v>#DIV/0!</v>
      </c>
      <c r="AK35" s="386" t="e">
        <f t="shared" si="6"/>
        <v>#DIV/0!</v>
      </c>
      <c r="AL35" s="3"/>
      <c r="AP35" s="12"/>
      <c r="AQ35" t="s">
        <v>215</v>
      </c>
    </row>
    <row r="36" spans="1:42" ht="13.5" thickBot="1">
      <c r="A36" s="149" t="s">
        <v>310</v>
      </c>
      <c r="B36" s="150"/>
      <c r="C36" s="3"/>
      <c r="D36" s="175">
        <f t="shared" si="18"/>
        <v>3.75</v>
      </c>
      <c r="E36" s="408">
        <f t="shared" si="20"/>
        <v>3.75</v>
      </c>
      <c r="F36" s="391"/>
      <c r="G36" s="600">
        <f t="shared" si="7"/>
        <v>2</v>
      </c>
      <c r="H36" s="600">
        <f t="shared" si="8"/>
        <v>0</v>
      </c>
      <c r="I36" s="249">
        <v>3</v>
      </c>
      <c r="J36" s="367">
        <v>1</v>
      </c>
      <c r="K36" s="368">
        <f t="shared" si="9"/>
        <v>0.3886696</v>
      </c>
      <c r="L36" s="411">
        <f t="shared" si="0"/>
        <v>75.54716981132076</v>
      </c>
      <c r="M36" s="411">
        <f t="shared" si="1"/>
        <v>140.30188679245285</v>
      </c>
      <c r="N36" s="104">
        <f t="shared" si="2"/>
        <v>0</v>
      </c>
      <c r="O36" s="244">
        <f t="shared" si="10"/>
        <v>1.029229164</v>
      </c>
      <c r="P36" s="423"/>
      <c r="Q36" s="422">
        <v>35</v>
      </c>
      <c r="R36" s="412"/>
      <c r="S36" s="504">
        <f t="shared" si="11"/>
        <v>4</v>
      </c>
      <c r="T36" s="412"/>
      <c r="U36" s="250"/>
      <c r="V36" s="376">
        <f t="shared" si="25"/>
        <v>0</v>
      </c>
      <c r="W36" s="649">
        <f t="shared" si="19"/>
        <v>0.9365384615384617</v>
      </c>
      <c r="X36" s="610">
        <f t="shared" si="3"/>
        <v>1.0687499999999999</v>
      </c>
      <c r="Y36" s="526">
        <v>34</v>
      </c>
      <c r="Z36" s="529">
        <v>1.2</v>
      </c>
      <c r="AA36" s="530">
        <v>3</v>
      </c>
      <c r="AB36" s="514">
        <f t="shared" si="13"/>
        <v>3.75</v>
      </c>
      <c r="AC36" s="396">
        <f t="shared" si="14"/>
        <v>1.125</v>
      </c>
      <c r="AD36" s="394">
        <f t="shared" si="15"/>
        <v>1.0125</v>
      </c>
      <c r="AE36" s="394">
        <f t="shared" si="16"/>
        <v>1.40625</v>
      </c>
      <c r="AF36" s="400"/>
      <c r="AG36" s="383">
        <f>'All Vars D1.x'!U27</f>
        <v>1250</v>
      </c>
      <c r="AH36" s="384">
        <f t="shared" si="17"/>
        <v>157</v>
      </c>
      <c r="AI36" s="385" t="e">
        <f t="shared" si="4"/>
        <v>#DIV/0!</v>
      </c>
      <c r="AJ36" s="385" t="e">
        <f t="shared" si="5"/>
        <v>#DIV/0!</v>
      </c>
      <c r="AK36" s="386" t="e">
        <f t="shared" si="6"/>
        <v>#DIV/0!</v>
      </c>
      <c r="AL36" s="3"/>
      <c r="AP36" s="12"/>
    </row>
    <row r="37" spans="1:42" ht="13.5" thickBot="1">
      <c r="A37" s="539">
        <v>1</v>
      </c>
      <c r="B37" s="540"/>
      <c r="C37" s="3"/>
      <c r="D37" s="175">
        <f t="shared" si="18"/>
        <v>3.875</v>
      </c>
      <c r="E37" s="408">
        <f t="shared" si="20"/>
        <v>3.875</v>
      </c>
      <c r="F37" s="391" t="s">
        <v>183</v>
      </c>
      <c r="G37" s="600">
        <f t="shared" si="7"/>
        <v>3</v>
      </c>
      <c r="H37" s="600">
        <f t="shared" si="8"/>
        <v>1</v>
      </c>
      <c r="I37" s="249">
        <v>3.625</v>
      </c>
      <c r="J37" s="367">
        <v>1</v>
      </c>
      <c r="K37" s="368">
        <f t="shared" si="9"/>
        <v>0.4950375</v>
      </c>
      <c r="L37" s="411">
        <f t="shared" si="0"/>
        <v>77.90801886792453</v>
      </c>
      <c r="M37" s="411">
        <f t="shared" si="1"/>
        <v>144.686320754717</v>
      </c>
      <c r="N37" s="104">
        <f t="shared" si="2"/>
        <v>0</v>
      </c>
      <c r="O37" s="244">
        <f t="shared" si="10"/>
        <v>1.0345393125</v>
      </c>
      <c r="P37" s="423"/>
      <c r="Q37" s="422">
        <v>35</v>
      </c>
      <c r="R37" s="412"/>
      <c r="S37" s="504">
        <f t="shared" si="11"/>
        <v>4</v>
      </c>
      <c r="T37" s="412"/>
      <c r="U37" s="250">
        <v>0.45</v>
      </c>
      <c r="V37" s="376">
        <f t="shared" si="25"/>
        <v>0</v>
      </c>
      <c r="W37" s="649">
        <f t="shared" si="19"/>
        <v>0.9088942307692308</v>
      </c>
      <c r="X37" s="610">
        <f t="shared" si="3"/>
        <v>1.009375</v>
      </c>
      <c r="Y37" s="526">
        <v>33.3</v>
      </c>
      <c r="Z37" s="529">
        <v>1.2</v>
      </c>
      <c r="AA37" s="530">
        <v>3</v>
      </c>
      <c r="AB37" s="514">
        <f t="shared" si="13"/>
        <v>3.875</v>
      </c>
      <c r="AC37" s="396">
        <f t="shared" si="14"/>
        <v>1.0625</v>
      </c>
      <c r="AD37" s="394">
        <f t="shared" si="15"/>
        <v>0.95625</v>
      </c>
      <c r="AE37" s="394">
        <f t="shared" si="16"/>
        <v>1.328125</v>
      </c>
      <c r="AF37" s="400"/>
      <c r="AG37" s="383">
        <f>'All Vars D1.x'!U28</f>
        <v>1250</v>
      </c>
      <c r="AH37" s="384">
        <f t="shared" si="17"/>
        <v>157</v>
      </c>
      <c r="AI37" s="385" t="e">
        <f t="shared" si="4"/>
        <v>#DIV/0!</v>
      </c>
      <c r="AJ37" s="385" t="e">
        <f t="shared" si="5"/>
        <v>#DIV/0!</v>
      </c>
      <c r="AK37" s="386" t="e">
        <f t="shared" si="6"/>
        <v>#DIV/0!</v>
      </c>
      <c r="AL37" s="3"/>
      <c r="AP37" s="12"/>
    </row>
    <row r="38" spans="1:42" ht="12.75">
      <c r="A38" s="16"/>
      <c r="B38" s="3"/>
      <c r="C38" s="3"/>
      <c r="D38" s="175">
        <f t="shared" si="18"/>
        <v>4</v>
      </c>
      <c r="E38" s="408">
        <f t="shared" si="20"/>
        <v>4</v>
      </c>
      <c r="F38" s="391" t="s">
        <v>183</v>
      </c>
      <c r="G38" s="600">
        <f t="shared" si="7"/>
        <v>3</v>
      </c>
      <c r="H38" s="600">
        <f t="shared" si="8"/>
        <v>1</v>
      </c>
      <c r="I38" s="249">
        <v>3.625</v>
      </c>
      <c r="J38" s="367">
        <v>1</v>
      </c>
      <c r="K38" s="368">
        <f t="shared" si="9"/>
        <v>0.4950375</v>
      </c>
      <c r="L38" s="411">
        <f t="shared" si="0"/>
        <v>80.2688679245283</v>
      </c>
      <c r="M38" s="411">
        <f t="shared" si="1"/>
        <v>149.07075471698113</v>
      </c>
      <c r="N38" s="104">
        <f t="shared" si="2"/>
        <v>0</v>
      </c>
      <c r="O38" s="244">
        <f t="shared" si="10"/>
        <v>1.0701643125</v>
      </c>
      <c r="P38" s="423"/>
      <c r="Q38" s="422">
        <v>35</v>
      </c>
      <c r="R38" s="412"/>
      <c r="S38" s="504">
        <f t="shared" si="11"/>
        <v>4</v>
      </c>
      <c r="T38" s="412"/>
      <c r="U38" s="250">
        <v>0.45</v>
      </c>
      <c r="V38" s="376">
        <f t="shared" si="25"/>
        <v>0</v>
      </c>
      <c r="W38" s="649">
        <f t="shared" si="19"/>
        <v>0.8812500000000001</v>
      </c>
      <c r="X38" s="610">
        <f t="shared" si="3"/>
        <v>0.95</v>
      </c>
      <c r="Y38" s="526">
        <v>33.6</v>
      </c>
      <c r="Z38" s="529">
        <v>1.2</v>
      </c>
      <c r="AA38" s="530">
        <v>3</v>
      </c>
      <c r="AB38" s="514">
        <f t="shared" si="13"/>
        <v>4</v>
      </c>
      <c r="AC38" s="396">
        <f t="shared" si="14"/>
        <v>1</v>
      </c>
      <c r="AD38" s="394">
        <f t="shared" si="15"/>
        <v>0.9</v>
      </c>
      <c r="AE38" s="394">
        <f t="shared" si="16"/>
        <v>1.25</v>
      </c>
      <c r="AF38" s="400"/>
      <c r="AG38" s="383">
        <f>'All Vars D1.x'!U29</f>
        <v>1250</v>
      </c>
      <c r="AH38" s="384">
        <f t="shared" si="17"/>
        <v>157</v>
      </c>
      <c r="AI38" s="385" t="e">
        <f t="shared" si="4"/>
        <v>#DIV/0!</v>
      </c>
      <c r="AJ38" s="385" t="e">
        <f t="shared" si="5"/>
        <v>#DIV/0!</v>
      </c>
      <c r="AK38" s="386" t="e">
        <f t="shared" si="6"/>
        <v>#DIV/0!</v>
      </c>
      <c r="AL38" s="3"/>
      <c r="AP38" s="12"/>
    </row>
    <row r="39" spans="1:42" ht="12.75">
      <c r="A39" s="16"/>
      <c r="B39" s="3">
        <f>A23/B27</f>
        <v>2.0754716981132075</v>
      </c>
      <c r="C39" s="3"/>
      <c r="D39" s="175">
        <f aca="true" t="shared" si="26" ref="D39:D54">D38+1/8</f>
        <v>4.125</v>
      </c>
      <c r="E39" s="408">
        <f t="shared" si="20"/>
        <v>4.125</v>
      </c>
      <c r="F39" s="391"/>
      <c r="G39" s="600">
        <f t="shared" si="7"/>
        <v>3</v>
      </c>
      <c r="H39" s="600">
        <f t="shared" si="8"/>
        <v>1</v>
      </c>
      <c r="I39" s="249">
        <v>3.625</v>
      </c>
      <c r="J39" s="367">
        <v>1</v>
      </c>
      <c r="K39" s="368">
        <f t="shared" si="9"/>
        <v>0.4950375</v>
      </c>
      <c r="L39" s="411">
        <f t="shared" si="0"/>
        <v>82.62971698113208</v>
      </c>
      <c r="M39" s="411">
        <f t="shared" si="1"/>
        <v>153.45518867924528</v>
      </c>
      <c r="N39" s="104">
        <f t="shared" si="2"/>
        <v>0</v>
      </c>
      <c r="O39" s="244">
        <f t="shared" si="10"/>
        <v>1.1057893125</v>
      </c>
      <c r="P39" s="423"/>
      <c r="Q39" s="422">
        <v>35</v>
      </c>
      <c r="R39" s="412"/>
      <c r="S39" s="504">
        <f t="shared" si="11"/>
        <v>4</v>
      </c>
      <c r="T39" s="412"/>
      <c r="U39" s="250">
        <v>0.45</v>
      </c>
      <c r="V39" s="376">
        <f t="shared" si="25"/>
        <v>0</v>
      </c>
      <c r="W39" s="649">
        <f t="shared" si="19"/>
        <v>0.8536057692307693</v>
      </c>
      <c r="X39" s="610">
        <f t="shared" si="3"/>
        <v>0.890625</v>
      </c>
      <c r="Y39" s="526">
        <v>34</v>
      </c>
      <c r="Z39" s="529">
        <v>1.2</v>
      </c>
      <c r="AA39" s="530">
        <v>3</v>
      </c>
      <c r="AB39" s="514">
        <f t="shared" si="13"/>
        <v>4.125</v>
      </c>
      <c r="AC39" s="396">
        <f t="shared" si="14"/>
        <v>0.9375</v>
      </c>
      <c r="AD39" s="394">
        <f t="shared" si="15"/>
        <v>0.84375</v>
      </c>
      <c r="AE39" s="394">
        <f t="shared" si="16"/>
        <v>1.171875</v>
      </c>
      <c r="AF39" s="400"/>
      <c r="AG39" s="383">
        <f>'All Vars D1.x'!U30</f>
        <v>1250</v>
      </c>
      <c r="AH39" s="384">
        <f t="shared" si="17"/>
        <v>157</v>
      </c>
      <c r="AI39" s="385" t="e">
        <f t="shared" si="4"/>
        <v>#DIV/0!</v>
      </c>
      <c r="AJ39" s="385" t="e">
        <f t="shared" si="5"/>
        <v>#DIV/0!</v>
      </c>
      <c r="AK39" s="386" t="e">
        <f t="shared" si="6"/>
        <v>#DIV/0!</v>
      </c>
      <c r="AL39" s="3"/>
      <c r="AP39" s="12"/>
    </row>
    <row r="40" spans="1:42" ht="12.75">
      <c r="A40" s="16" t="s">
        <v>170</v>
      </c>
      <c r="B40" s="3"/>
      <c r="C40" s="3"/>
      <c r="D40" s="175">
        <f t="shared" si="26"/>
        <v>4.25</v>
      </c>
      <c r="E40" s="408">
        <f t="shared" si="20"/>
        <v>4.25</v>
      </c>
      <c r="F40" s="391"/>
      <c r="G40" s="600">
        <f t="shared" si="7"/>
        <v>3</v>
      </c>
      <c r="H40" s="600">
        <f t="shared" si="8"/>
        <v>1</v>
      </c>
      <c r="I40" s="249">
        <v>4</v>
      </c>
      <c r="J40" s="367">
        <v>1</v>
      </c>
      <c r="K40" s="368">
        <f t="shared" si="9"/>
        <v>0.4784</v>
      </c>
      <c r="L40" s="411">
        <f t="shared" si="0"/>
        <v>84.99056603773585</v>
      </c>
      <c r="M40" s="411">
        <f t="shared" si="1"/>
        <v>157.83962264150944</v>
      </c>
      <c r="N40" s="104">
        <f t="shared" si="2"/>
        <v>0</v>
      </c>
      <c r="O40" s="244">
        <f t="shared" si="10"/>
        <v>1.146156</v>
      </c>
      <c r="P40" s="423"/>
      <c r="Q40" s="422">
        <v>35</v>
      </c>
      <c r="R40" s="412"/>
      <c r="S40" s="504">
        <f t="shared" si="11"/>
        <v>4</v>
      </c>
      <c r="T40" s="412"/>
      <c r="U40" s="250">
        <v>0.45</v>
      </c>
      <c r="V40" s="376">
        <f t="shared" si="25"/>
        <v>0</v>
      </c>
      <c r="W40" s="649">
        <f t="shared" si="19"/>
        <v>0.8259615384615385</v>
      </c>
      <c r="X40" s="610">
        <f>0.96*AC40</f>
        <v>0.84</v>
      </c>
      <c r="Y40" s="526">
        <v>34</v>
      </c>
      <c r="Z40" s="529">
        <v>1.2</v>
      </c>
      <c r="AA40" s="530">
        <v>3</v>
      </c>
      <c r="AB40" s="514">
        <f t="shared" si="13"/>
        <v>4.25</v>
      </c>
      <c r="AC40" s="396">
        <f t="shared" si="14"/>
        <v>0.875</v>
      </c>
      <c r="AD40" s="394">
        <f t="shared" si="15"/>
        <v>0.7875</v>
      </c>
      <c r="AE40" s="394">
        <f t="shared" si="16"/>
        <v>1.09375</v>
      </c>
      <c r="AF40" s="400"/>
      <c r="AG40" s="383">
        <f>'All Vars D1.x'!U31</f>
        <v>1350</v>
      </c>
      <c r="AH40" s="384">
        <f t="shared" si="17"/>
        <v>169.5</v>
      </c>
      <c r="AI40" s="385" t="e">
        <f t="shared" si="4"/>
        <v>#DIV/0!</v>
      </c>
      <c r="AJ40" s="385" t="e">
        <f t="shared" si="5"/>
        <v>#DIV/0!</v>
      </c>
      <c r="AK40" s="386" t="e">
        <f t="shared" si="6"/>
        <v>#DIV/0!</v>
      </c>
      <c r="AL40" s="3"/>
      <c r="AP40" s="12"/>
    </row>
    <row r="41" spans="1:42" ht="13.5" thickBot="1">
      <c r="A41" s="16" t="s">
        <v>171</v>
      </c>
      <c r="B41" s="3"/>
      <c r="C41" s="3"/>
      <c r="D41" s="175">
        <f t="shared" si="26"/>
        <v>4.375</v>
      </c>
      <c r="E41" s="408">
        <v>4.375</v>
      </c>
      <c r="F41" s="391"/>
      <c r="G41" s="600">
        <f t="shared" si="7"/>
        <v>3</v>
      </c>
      <c r="H41" s="600">
        <f t="shared" si="8"/>
        <v>1</v>
      </c>
      <c r="I41" s="249">
        <v>4</v>
      </c>
      <c r="J41" s="367">
        <v>1</v>
      </c>
      <c r="K41" s="368">
        <f t="shared" si="9"/>
        <v>0.4784</v>
      </c>
      <c r="L41" s="411">
        <f t="shared" si="0"/>
        <v>87.35141509433961</v>
      </c>
      <c r="M41" s="411">
        <f t="shared" si="1"/>
        <v>162.2240566037736</v>
      </c>
      <c r="N41" s="104">
        <f t="shared" si="2"/>
        <v>0</v>
      </c>
      <c r="O41" s="244">
        <f t="shared" si="10"/>
        <v>1.181781</v>
      </c>
      <c r="P41" s="423"/>
      <c r="Q41" s="422">
        <v>35</v>
      </c>
      <c r="R41" s="412"/>
      <c r="S41" s="504">
        <f t="shared" si="11"/>
        <v>4</v>
      </c>
      <c r="T41" s="412"/>
      <c r="U41" s="250">
        <v>0.45</v>
      </c>
      <c r="V41" s="376">
        <f t="shared" si="25"/>
        <v>0</v>
      </c>
      <c r="W41" s="649">
        <f t="shared" si="19"/>
        <v>0.7983173076923078</v>
      </c>
      <c r="X41" s="610">
        <f>0.97*AC41</f>
        <v>0.788125</v>
      </c>
      <c r="Y41" s="526">
        <v>34.4</v>
      </c>
      <c r="Z41" s="529">
        <v>1.2</v>
      </c>
      <c r="AA41" s="530">
        <v>3</v>
      </c>
      <c r="AB41" s="514">
        <f t="shared" si="13"/>
        <v>4.375</v>
      </c>
      <c r="AC41" s="396">
        <f t="shared" si="14"/>
        <v>0.8125</v>
      </c>
      <c r="AD41" s="394">
        <f t="shared" si="15"/>
        <v>0.7312500000000001</v>
      </c>
      <c r="AE41" s="394">
        <f t="shared" si="16"/>
        <v>1.015625</v>
      </c>
      <c r="AF41" s="400"/>
      <c r="AG41" s="383">
        <f>'All Vars D1.x'!U32</f>
        <v>1350</v>
      </c>
      <c r="AH41" s="384">
        <f t="shared" si="17"/>
        <v>169.5</v>
      </c>
      <c r="AI41" s="385" t="e">
        <f t="shared" si="4"/>
        <v>#DIV/0!</v>
      </c>
      <c r="AJ41" s="385" t="e">
        <f t="shared" si="5"/>
        <v>#DIV/0!</v>
      </c>
      <c r="AK41" s="386" t="e">
        <f t="shared" si="6"/>
        <v>#DIV/0!</v>
      </c>
      <c r="AL41" s="3"/>
      <c r="AP41" s="12"/>
    </row>
    <row r="42" spans="1:49" ht="12.75">
      <c r="A42" s="155" t="s">
        <v>172</v>
      </c>
      <c r="C42" s="3"/>
      <c r="D42" s="175">
        <f t="shared" si="26"/>
        <v>4.5</v>
      </c>
      <c r="E42" s="408">
        <f t="shared" si="20"/>
        <v>4.5</v>
      </c>
      <c r="F42" s="391"/>
      <c r="G42" s="600">
        <f t="shared" si="7"/>
        <v>3</v>
      </c>
      <c r="H42" s="600">
        <f t="shared" si="8"/>
        <v>1</v>
      </c>
      <c r="I42" s="249">
        <v>4</v>
      </c>
      <c r="J42" s="367">
        <v>1</v>
      </c>
      <c r="K42" s="368">
        <f t="shared" si="9"/>
        <v>0.4784</v>
      </c>
      <c r="L42" s="411">
        <f t="shared" si="0"/>
        <v>89.71226415094338</v>
      </c>
      <c r="M42" s="411">
        <f t="shared" si="1"/>
        <v>166.60849056603774</v>
      </c>
      <c r="N42" s="104">
        <f t="shared" si="2"/>
        <v>0</v>
      </c>
      <c r="O42" s="244">
        <f t="shared" si="10"/>
        <v>1.217406</v>
      </c>
      <c r="P42" s="423"/>
      <c r="Q42" s="422">
        <v>35</v>
      </c>
      <c r="R42" s="412"/>
      <c r="S42" s="504">
        <f t="shared" si="11"/>
        <v>4</v>
      </c>
      <c r="T42" s="412"/>
      <c r="U42" s="250">
        <v>0.6</v>
      </c>
      <c r="V42" s="376">
        <f t="shared" si="25"/>
        <v>0</v>
      </c>
      <c r="W42" s="649">
        <f t="shared" si="19"/>
        <v>0.7706730769230768</v>
      </c>
      <c r="X42" s="610">
        <f>0.98*AC42</f>
        <v>0.735</v>
      </c>
      <c r="Y42" s="526">
        <v>34.8</v>
      </c>
      <c r="Z42" s="529">
        <v>1.2</v>
      </c>
      <c r="AA42" s="530">
        <v>3</v>
      </c>
      <c r="AB42" s="514">
        <f t="shared" si="13"/>
        <v>4.5</v>
      </c>
      <c r="AC42" s="396">
        <f t="shared" si="14"/>
        <v>0.75</v>
      </c>
      <c r="AD42" s="394">
        <f t="shared" si="15"/>
        <v>0.675</v>
      </c>
      <c r="AE42" s="394">
        <f t="shared" si="16"/>
        <v>0.9375</v>
      </c>
      <c r="AF42" s="400"/>
      <c r="AG42" s="383">
        <f>'All Vars D1.x'!U33</f>
        <v>1350</v>
      </c>
      <c r="AH42" s="384">
        <f t="shared" si="17"/>
        <v>169.5</v>
      </c>
      <c r="AI42" s="385" t="e">
        <f t="shared" si="4"/>
        <v>#DIV/0!</v>
      </c>
      <c r="AJ42" s="385" t="e">
        <f t="shared" si="5"/>
        <v>#DIV/0!</v>
      </c>
      <c r="AK42" s="386" t="e">
        <f t="shared" si="6"/>
        <v>#DIV/0!</v>
      </c>
      <c r="AL42" s="3"/>
      <c r="AP42" s="12"/>
      <c r="AV42" s="184" t="s">
        <v>179</v>
      </c>
      <c r="AW42" s="46"/>
    </row>
    <row r="43" spans="1:49" ht="12.75">
      <c r="A43" s="341">
        <v>0</v>
      </c>
      <c r="B43" s="5" t="s">
        <v>169</v>
      </c>
      <c r="C43" s="3"/>
      <c r="D43" s="175">
        <f t="shared" si="26"/>
        <v>4.625</v>
      </c>
      <c r="E43" s="408">
        <f t="shared" si="20"/>
        <v>4.625</v>
      </c>
      <c r="F43" s="391"/>
      <c r="G43" s="600">
        <f t="shared" si="7"/>
        <v>3</v>
      </c>
      <c r="H43" s="600">
        <f t="shared" si="8"/>
        <v>1</v>
      </c>
      <c r="I43" s="249">
        <v>4</v>
      </c>
      <c r="J43" s="367">
        <v>1</v>
      </c>
      <c r="K43" s="368">
        <f t="shared" si="9"/>
        <v>0.4784</v>
      </c>
      <c r="L43" s="411">
        <f t="shared" si="0"/>
        <v>92.07311320754717</v>
      </c>
      <c r="M43" s="411">
        <f t="shared" si="1"/>
        <v>170.9929245283019</v>
      </c>
      <c r="N43" s="104">
        <f t="shared" si="2"/>
        <v>0</v>
      </c>
      <c r="O43" s="244">
        <f t="shared" si="10"/>
        <v>1.253031</v>
      </c>
      <c r="P43" s="423"/>
      <c r="Q43" s="422">
        <v>35</v>
      </c>
      <c r="R43" s="412"/>
      <c r="S43" s="504">
        <f t="shared" si="11"/>
        <v>4</v>
      </c>
      <c r="T43" s="412"/>
      <c r="U43" s="250">
        <v>0.6</v>
      </c>
      <c r="V43" s="376">
        <f t="shared" si="25"/>
        <v>0</v>
      </c>
      <c r="W43" s="649">
        <f t="shared" si="19"/>
        <v>0.7430288461538461</v>
      </c>
      <c r="X43" s="610">
        <f>0.99*AC43</f>
        <v>0.680625</v>
      </c>
      <c r="Y43" s="526">
        <v>35.1</v>
      </c>
      <c r="Z43" s="529">
        <v>1.2</v>
      </c>
      <c r="AA43" s="530">
        <v>3</v>
      </c>
      <c r="AB43" s="514">
        <f t="shared" si="13"/>
        <v>4.625</v>
      </c>
      <c r="AC43" s="396">
        <f t="shared" si="14"/>
        <v>0.6875</v>
      </c>
      <c r="AD43" s="394">
        <f t="shared" si="15"/>
        <v>0.61875</v>
      </c>
      <c r="AE43" s="394">
        <f t="shared" si="16"/>
        <v>0.859375</v>
      </c>
      <c r="AF43" s="400"/>
      <c r="AG43" s="383">
        <f>'All Vars D1.x'!U34</f>
        <v>1350</v>
      </c>
      <c r="AH43" s="384">
        <f t="shared" si="17"/>
        <v>169.5</v>
      </c>
      <c r="AI43" s="385" t="e">
        <f t="shared" si="4"/>
        <v>#DIV/0!</v>
      </c>
      <c r="AJ43" s="385" t="e">
        <f t="shared" si="5"/>
        <v>#DIV/0!</v>
      </c>
      <c r="AK43" s="386" t="e">
        <f t="shared" si="6"/>
        <v>#DIV/0!</v>
      </c>
      <c r="AL43" s="3"/>
      <c r="AP43" s="12"/>
      <c r="AQ43" s="129" t="s">
        <v>174</v>
      </c>
      <c r="AV43" s="181" t="s">
        <v>178</v>
      </c>
      <c r="AW43" s="73" t="s">
        <v>177</v>
      </c>
    </row>
    <row r="44" spans="1:49" ht="12.75">
      <c r="A44" s="16"/>
      <c r="B44" s="3"/>
      <c r="C44" s="3"/>
      <c r="D44" s="175">
        <f t="shared" si="26"/>
        <v>4.75</v>
      </c>
      <c r="E44" s="408">
        <f t="shared" si="20"/>
        <v>4.75</v>
      </c>
      <c r="F44" s="391"/>
      <c r="G44" s="600">
        <f t="shared" si="7"/>
        <v>3</v>
      </c>
      <c r="H44" s="600">
        <f t="shared" si="8"/>
        <v>1</v>
      </c>
      <c r="I44" s="248">
        <v>4</v>
      </c>
      <c r="J44" s="367">
        <v>1</v>
      </c>
      <c r="K44" s="368">
        <f t="shared" si="9"/>
        <v>0.4784</v>
      </c>
      <c r="L44" s="411">
        <f t="shared" si="0"/>
        <v>94.43396226415094</v>
      </c>
      <c r="M44" s="411">
        <f t="shared" si="1"/>
        <v>175.37735849056605</v>
      </c>
      <c r="N44" s="104">
        <f t="shared" si="2"/>
        <v>0</v>
      </c>
      <c r="O44" s="244">
        <f t="shared" si="10"/>
        <v>1.288656</v>
      </c>
      <c r="P44" s="423"/>
      <c r="Q44" s="422">
        <v>35</v>
      </c>
      <c r="R44" s="412"/>
      <c r="S44" s="504">
        <f t="shared" si="11"/>
        <v>4</v>
      </c>
      <c r="T44" s="412"/>
      <c r="U44" s="250">
        <v>0.66</v>
      </c>
      <c r="V44" s="376">
        <f t="shared" si="25"/>
        <v>0</v>
      </c>
      <c r="W44" s="649">
        <f t="shared" si="19"/>
        <v>0.7153846153846154</v>
      </c>
      <c r="X44" s="610">
        <f>AC44</f>
        <v>0.625</v>
      </c>
      <c r="Y44" s="526">
        <v>35.4</v>
      </c>
      <c r="Z44" s="529">
        <v>1.2</v>
      </c>
      <c r="AA44" s="530">
        <v>3</v>
      </c>
      <c r="AB44" s="514">
        <f t="shared" si="13"/>
        <v>4.75</v>
      </c>
      <c r="AC44" s="396">
        <f t="shared" si="14"/>
        <v>0.625</v>
      </c>
      <c r="AD44" s="394">
        <f t="shared" si="15"/>
        <v>0.5625</v>
      </c>
      <c r="AE44" s="394">
        <f t="shared" si="16"/>
        <v>0.78125</v>
      </c>
      <c r="AF44" s="400"/>
      <c r="AG44" s="383">
        <f>'All Vars D1.x'!U35</f>
        <v>1350</v>
      </c>
      <c r="AH44" s="384">
        <f t="shared" si="17"/>
        <v>169.5</v>
      </c>
      <c r="AI44" s="385" t="e">
        <f t="shared" si="4"/>
        <v>#DIV/0!</v>
      </c>
      <c r="AJ44" s="385" t="e">
        <f t="shared" si="5"/>
        <v>#DIV/0!</v>
      </c>
      <c r="AK44" s="386" t="e">
        <f t="shared" si="6"/>
        <v>#DIV/0!</v>
      </c>
      <c r="AL44" s="3"/>
      <c r="AP44" s="12"/>
      <c r="AQ44" s="129"/>
      <c r="AV44" s="181"/>
      <c r="AW44" s="73"/>
    </row>
    <row r="45" spans="1:49" ht="12.75">
      <c r="A45" s="16"/>
      <c r="B45" s="3"/>
      <c r="C45" s="3"/>
      <c r="D45" s="175">
        <f t="shared" si="26"/>
        <v>4.875</v>
      </c>
      <c r="E45" s="408">
        <f t="shared" si="20"/>
        <v>4.875</v>
      </c>
      <c r="F45" s="391"/>
      <c r="G45" s="600">
        <f t="shared" si="7"/>
        <v>3</v>
      </c>
      <c r="H45" s="600">
        <f t="shared" si="8"/>
        <v>1</v>
      </c>
      <c r="I45" s="248">
        <v>4.625</v>
      </c>
      <c r="J45" s="367">
        <v>1</v>
      </c>
      <c r="K45" s="368">
        <f t="shared" si="9"/>
        <v>0.3999125</v>
      </c>
      <c r="L45" s="411">
        <f t="shared" si="0"/>
        <v>96.79481132075472</v>
      </c>
      <c r="M45" s="411">
        <f t="shared" si="1"/>
        <v>179.7617924528302</v>
      </c>
      <c r="N45" s="104">
        <f t="shared" si="2"/>
        <v>0</v>
      </c>
      <c r="O45" s="244">
        <f t="shared" si="10"/>
        <v>1.3466499374999998</v>
      </c>
      <c r="P45" s="423"/>
      <c r="Q45" s="422">
        <v>35</v>
      </c>
      <c r="R45" s="412"/>
      <c r="S45" s="504">
        <f t="shared" si="11"/>
        <v>4</v>
      </c>
      <c r="T45" s="412"/>
      <c r="U45" s="250">
        <v>0.75</v>
      </c>
      <c r="V45" s="376">
        <f t="shared" si="25"/>
        <v>0</v>
      </c>
      <c r="W45" s="649">
        <f t="shared" si="19"/>
        <v>0.6877403846153847</v>
      </c>
      <c r="X45" s="610">
        <f>1.03*AC45</f>
        <v>0.579375</v>
      </c>
      <c r="Y45" s="526">
        <v>34.3</v>
      </c>
      <c r="Z45" s="529">
        <v>1.2</v>
      </c>
      <c r="AA45" s="530">
        <v>3</v>
      </c>
      <c r="AB45" s="514">
        <f t="shared" si="13"/>
        <v>4.875</v>
      </c>
      <c r="AC45" s="396">
        <f t="shared" si="14"/>
        <v>0.5625</v>
      </c>
      <c r="AD45" s="394">
        <f t="shared" si="15"/>
        <v>0.50625</v>
      </c>
      <c r="AE45" s="394">
        <f t="shared" si="16"/>
        <v>0.703125</v>
      </c>
      <c r="AF45" s="400"/>
      <c r="AG45" s="383">
        <f>'All Vars D1.x'!U36</f>
        <v>1350</v>
      </c>
      <c r="AH45" s="384">
        <f t="shared" si="17"/>
        <v>169.5</v>
      </c>
      <c r="AI45" s="385" t="e">
        <f t="shared" si="4"/>
        <v>#DIV/0!</v>
      </c>
      <c r="AJ45" s="385" t="e">
        <f t="shared" si="5"/>
        <v>#DIV/0!</v>
      </c>
      <c r="AK45" s="386" t="e">
        <f t="shared" si="6"/>
        <v>#DIV/0!</v>
      </c>
      <c r="AL45" s="3"/>
      <c r="AP45" s="12"/>
      <c r="AQ45" s="129"/>
      <c r="AV45" s="181"/>
      <c r="AW45" s="73"/>
    </row>
    <row r="46" spans="1:49" ht="12.75">
      <c r="A46" s="16"/>
      <c r="B46" s="3"/>
      <c r="C46" s="3"/>
      <c r="D46" s="175">
        <f t="shared" si="26"/>
        <v>5</v>
      </c>
      <c r="E46" s="408">
        <f t="shared" si="20"/>
        <v>5</v>
      </c>
      <c r="F46" s="391"/>
      <c r="G46" s="600">
        <f t="shared" si="7"/>
        <v>3</v>
      </c>
      <c r="H46" s="600">
        <f t="shared" si="8"/>
        <v>1</v>
      </c>
      <c r="I46" s="248">
        <v>4.625</v>
      </c>
      <c r="J46" s="367">
        <v>1</v>
      </c>
      <c r="K46" s="368">
        <f t="shared" si="9"/>
        <v>0.3999125</v>
      </c>
      <c r="L46" s="411">
        <f t="shared" si="0"/>
        <v>99.15566037735849</v>
      </c>
      <c r="M46" s="411">
        <f t="shared" si="1"/>
        <v>184.14622641509433</v>
      </c>
      <c r="N46" s="104">
        <f t="shared" si="2"/>
        <v>0</v>
      </c>
      <c r="O46" s="244">
        <f t="shared" si="10"/>
        <v>1.3822749374999999</v>
      </c>
      <c r="P46" s="423"/>
      <c r="Q46" s="422">
        <v>35</v>
      </c>
      <c r="R46" s="412"/>
      <c r="S46" s="504">
        <f t="shared" si="11"/>
        <v>4</v>
      </c>
      <c r="T46" s="412"/>
      <c r="U46" s="250">
        <v>0.75</v>
      </c>
      <c r="V46" s="376">
        <f t="shared" si="25"/>
        <v>0</v>
      </c>
      <c r="W46" s="649">
        <f t="shared" si="19"/>
        <v>0.6600961538461539</v>
      </c>
      <c r="X46" s="610">
        <f>1.19*AC46</f>
        <v>0.595</v>
      </c>
      <c r="Y46" s="526">
        <v>34.5</v>
      </c>
      <c r="Z46" s="529">
        <v>1.2</v>
      </c>
      <c r="AA46" s="530">
        <v>3</v>
      </c>
      <c r="AB46" s="514">
        <f t="shared" si="13"/>
        <v>5</v>
      </c>
      <c r="AC46" s="396">
        <f t="shared" si="14"/>
        <v>0.5</v>
      </c>
      <c r="AD46" s="394">
        <f t="shared" si="15"/>
        <v>0.45</v>
      </c>
      <c r="AE46" s="394">
        <f t="shared" si="16"/>
        <v>0.625</v>
      </c>
      <c r="AF46" s="400"/>
      <c r="AG46" s="383">
        <f>'All Vars D1.x'!U37</f>
        <v>1350</v>
      </c>
      <c r="AH46" s="384">
        <f t="shared" si="17"/>
        <v>169.5</v>
      </c>
      <c r="AI46" s="385" t="e">
        <f t="shared" si="4"/>
        <v>#DIV/0!</v>
      </c>
      <c r="AJ46" s="385" t="e">
        <f t="shared" si="5"/>
        <v>#DIV/0!</v>
      </c>
      <c r="AK46" s="386" t="e">
        <f t="shared" si="6"/>
        <v>#DIV/0!</v>
      </c>
      <c r="AL46" s="3"/>
      <c r="AP46" s="12"/>
      <c r="AQ46" s="129"/>
      <c r="AV46" s="181"/>
      <c r="AW46" s="73"/>
    </row>
    <row r="47" spans="1:49" ht="12.75">
      <c r="A47" s="16"/>
      <c r="B47" s="3"/>
      <c r="C47" s="3"/>
      <c r="D47" s="175">
        <f t="shared" si="26"/>
        <v>5.125</v>
      </c>
      <c r="E47" s="408">
        <v>5.125</v>
      </c>
      <c r="F47" s="391"/>
      <c r="G47" s="600">
        <f t="shared" si="7"/>
        <v>3</v>
      </c>
      <c r="H47" s="600">
        <f t="shared" si="8"/>
        <v>1</v>
      </c>
      <c r="I47" s="248">
        <v>4.625</v>
      </c>
      <c r="J47" s="367">
        <v>1</v>
      </c>
      <c r="K47" s="368">
        <f t="shared" si="9"/>
        <v>0.3999125</v>
      </c>
      <c r="L47" s="411">
        <f t="shared" si="0"/>
        <v>101.51650943396227</v>
      </c>
      <c r="M47" s="411">
        <f t="shared" si="1"/>
        <v>188.53066037735852</v>
      </c>
      <c r="N47" s="104">
        <f t="shared" si="2"/>
        <v>0</v>
      </c>
      <c r="O47" s="244">
        <f t="shared" si="10"/>
        <v>1.4178999374999999</v>
      </c>
      <c r="P47" s="423"/>
      <c r="Q47" s="422">
        <v>35</v>
      </c>
      <c r="R47" s="412"/>
      <c r="S47" s="504">
        <f t="shared" si="11"/>
        <v>4</v>
      </c>
      <c r="T47" s="412"/>
      <c r="U47" s="250">
        <v>0.75</v>
      </c>
      <c r="V47" s="376">
        <f>O47*P47/($M$6*((G47-H47)+U47*H47))</f>
        <v>0</v>
      </c>
      <c r="W47" s="649">
        <f t="shared" si="19"/>
        <v>0.632451923076923</v>
      </c>
      <c r="X47" s="610">
        <f>1.2*AC47</f>
        <v>0.525</v>
      </c>
      <c r="Y47" s="526">
        <v>32</v>
      </c>
      <c r="Z47" s="529">
        <v>1.2</v>
      </c>
      <c r="AA47" s="530">
        <v>3</v>
      </c>
      <c r="AB47" s="514">
        <f t="shared" si="13"/>
        <v>5.125</v>
      </c>
      <c r="AC47" s="396">
        <f t="shared" si="14"/>
        <v>0.4375</v>
      </c>
      <c r="AD47" s="394">
        <f t="shared" si="15"/>
        <v>0.39375</v>
      </c>
      <c r="AE47" s="394">
        <f t="shared" si="16"/>
        <v>0.546875</v>
      </c>
      <c r="AF47" s="400"/>
      <c r="AG47" s="383">
        <f>'All Vars D1.x'!U38</f>
        <v>1350</v>
      </c>
      <c r="AH47" s="384">
        <f t="shared" si="17"/>
        <v>169.5</v>
      </c>
      <c r="AI47" s="385" t="e">
        <f t="shared" si="4"/>
        <v>#DIV/0!</v>
      </c>
      <c r="AJ47" s="385" t="e">
        <f t="shared" si="5"/>
        <v>#DIV/0!</v>
      </c>
      <c r="AK47" s="386" t="e">
        <f t="shared" si="6"/>
        <v>#DIV/0!</v>
      </c>
      <c r="AL47" s="3"/>
      <c r="AP47" s="12"/>
      <c r="AQ47" s="129"/>
      <c r="AV47" s="181"/>
      <c r="AW47" s="73"/>
    </row>
    <row r="48" spans="1:49" ht="12.75">
      <c r="A48" s="16"/>
      <c r="B48" s="3"/>
      <c r="C48" s="3"/>
      <c r="D48" s="175">
        <f t="shared" si="26"/>
        <v>5.25</v>
      </c>
      <c r="E48" s="408">
        <f t="shared" si="20"/>
        <v>5.25</v>
      </c>
      <c r="F48" s="391"/>
      <c r="G48" s="600">
        <f t="shared" si="7"/>
        <v>3</v>
      </c>
      <c r="H48" s="600">
        <f t="shared" si="8"/>
        <v>1</v>
      </c>
      <c r="I48" s="248">
        <v>4.625</v>
      </c>
      <c r="J48" s="367">
        <v>1</v>
      </c>
      <c r="K48" s="368">
        <f t="shared" si="9"/>
        <v>0.3999125</v>
      </c>
      <c r="L48" s="411">
        <f t="shared" si="0"/>
        <v>103.87735849056602</v>
      </c>
      <c r="M48" s="411">
        <f t="shared" si="1"/>
        <v>192.91509433962264</v>
      </c>
      <c r="N48" s="104">
        <f t="shared" si="2"/>
        <v>0</v>
      </c>
      <c r="O48" s="244">
        <f t="shared" si="10"/>
        <v>1.4535249375</v>
      </c>
      <c r="P48" s="423"/>
      <c r="Q48" s="422">
        <v>35</v>
      </c>
      <c r="R48" s="412"/>
      <c r="S48" s="504">
        <f t="shared" si="11"/>
        <v>4</v>
      </c>
      <c r="T48" s="412"/>
      <c r="U48" s="250">
        <v>0.75</v>
      </c>
      <c r="V48" s="376">
        <f t="shared" si="25"/>
        <v>0</v>
      </c>
      <c r="W48" s="649">
        <f t="shared" si="19"/>
        <v>0.6048076923076923</v>
      </c>
      <c r="X48" s="610">
        <f>1.3*AC48</f>
        <v>0.48750000000000004</v>
      </c>
      <c r="Y48" s="526">
        <v>32</v>
      </c>
      <c r="Z48" s="529">
        <v>1.2</v>
      </c>
      <c r="AA48" s="530">
        <v>3</v>
      </c>
      <c r="AB48" s="514">
        <f t="shared" si="13"/>
        <v>5.25</v>
      </c>
      <c r="AC48" s="396">
        <f t="shared" si="14"/>
        <v>0.375</v>
      </c>
      <c r="AD48" s="394">
        <f t="shared" si="15"/>
        <v>0.3375</v>
      </c>
      <c r="AE48" s="394">
        <f t="shared" si="16"/>
        <v>0.46875</v>
      </c>
      <c r="AF48" s="400"/>
      <c r="AG48" s="383">
        <f>'All Vars D1.x'!U39</f>
        <v>1350</v>
      </c>
      <c r="AH48" s="384">
        <f t="shared" si="17"/>
        <v>169.5</v>
      </c>
      <c r="AI48" s="385" t="e">
        <f t="shared" si="4"/>
        <v>#DIV/0!</v>
      </c>
      <c r="AJ48" s="385" t="e">
        <f t="shared" si="5"/>
        <v>#DIV/0!</v>
      </c>
      <c r="AK48" s="386" t="e">
        <f t="shared" si="6"/>
        <v>#DIV/0!</v>
      </c>
      <c r="AL48" s="3"/>
      <c r="AP48" s="12"/>
      <c r="AQ48" s="129"/>
      <c r="AV48" s="181"/>
      <c r="AW48" s="73"/>
    </row>
    <row r="49" spans="1:49" ht="12.75">
      <c r="A49" s="16"/>
      <c r="B49" s="3"/>
      <c r="C49" s="3"/>
      <c r="D49" s="175">
        <f t="shared" si="26"/>
        <v>5.375</v>
      </c>
      <c r="E49" s="408">
        <f t="shared" si="20"/>
        <v>5.375</v>
      </c>
      <c r="F49" s="391"/>
      <c r="G49" s="600">
        <f t="shared" si="7"/>
        <v>3</v>
      </c>
      <c r="H49" s="600">
        <f t="shared" si="8"/>
        <v>1</v>
      </c>
      <c r="I49" s="248">
        <v>4.625</v>
      </c>
      <c r="J49" s="367">
        <v>1</v>
      </c>
      <c r="K49" s="368">
        <f t="shared" si="9"/>
        <v>0.3999125</v>
      </c>
      <c r="L49" s="411">
        <f t="shared" si="0"/>
        <v>106.23820754716981</v>
      </c>
      <c r="M49" s="411">
        <f t="shared" si="1"/>
        <v>197.2995283018868</v>
      </c>
      <c r="N49" s="104">
        <f t="shared" si="2"/>
        <v>0</v>
      </c>
      <c r="O49" s="244">
        <f t="shared" si="10"/>
        <v>1.4891499375</v>
      </c>
      <c r="P49" s="423"/>
      <c r="Q49" s="422">
        <v>35</v>
      </c>
      <c r="R49" s="412"/>
      <c r="S49" s="504">
        <f t="shared" si="11"/>
        <v>4</v>
      </c>
      <c r="T49" s="412"/>
      <c r="U49" s="250">
        <v>0.75</v>
      </c>
      <c r="V49" s="376">
        <f t="shared" si="25"/>
        <v>0</v>
      </c>
      <c r="W49" s="649">
        <f t="shared" si="19"/>
        <v>0.5771634615384615</v>
      </c>
      <c r="X49" s="611">
        <v>0.47</v>
      </c>
      <c r="Y49" s="526">
        <v>32</v>
      </c>
      <c r="Z49" s="529">
        <v>1.2</v>
      </c>
      <c r="AA49" s="530">
        <v>3</v>
      </c>
      <c r="AB49" s="514">
        <f t="shared" si="13"/>
        <v>5.375</v>
      </c>
      <c r="AC49" s="396">
        <f t="shared" si="14"/>
        <v>0.3125</v>
      </c>
      <c r="AD49" s="394">
        <f t="shared" si="15"/>
        <v>0.28125</v>
      </c>
      <c r="AE49" s="394">
        <f t="shared" si="16"/>
        <v>0.390625</v>
      </c>
      <c r="AF49" s="400"/>
      <c r="AG49" s="383">
        <f>'All Vars D1.x'!U40</f>
        <v>1350</v>
      </c>
      <c r="AH49" s="384">
        <f t="shared" si="17"/>
        <v>169.5</v>
      </c>
      <c r="AI49" s="385" t="e">
        <f t="shared" si="4"/>
        <v>#DIV/0!</v>
      </c>
      <c r="AJ49" s="385" t="e">
        <f t="shared" si="5"/>
        <v>#DIV/0!</v>
      </c>
      <c r="AK49" s="386" t="e">
        <f t="shared" si="6"/>
        <v>#DIV/0!</v>
      </c>
      <c r="AL49" s="3"/>
      <c r="AP49" s="12"/>
      <c r="AQ49" s="129"/>
      <c r="AV49" s="181"/>
      <c r="AW49" s="73"/>
    </row>
    <row r="50" spans="1:49" ht="12.75">
      <c r="A50" s="16"/>
      <c r="B50" s="3"/>
      <c r="C50" s="3"/>
      <c r="D50" s="175">
        <f t="shared" si="26"/>
        <v>5.5</v>
      </c>
      <c r="E50" s="408">
        <f t="shared" si="20"/>
        <v>5.5</v>
      </c>
      <c r="F50" s="391"/>
      <c r="G50" s="600">
        <f t="shared" si="7"/>
        <v>3</v>
      </c>
      <c r="H50" s="600">
        <f t="shared" si="8"/>
        <v>1</v>
      </c>
      <c r="I50" s="248">
        <v>4.625</v>
      </c>
      <c r="J50" s="367">
        <v>1</v>
      </c>
      <c r="K50" s="368">
        <f t="shared" si="9"/>
        <v>0.3999125</v>
      </c>
      <c r="L50" s="411">
        <f t="shared" si="0"/>
        <v>108.59905660377358</v>
      </c>
      <c r="M50" s="411">
        <f t="shared" si="1"/>
        <v>201.68396226415095</v>
      </c>
      <c r="N50" s="104">
        <f t="shared" si="2"/>
        <v>0</v>
      </c>
      <c r="O50" s="244">
        <f t="shared" si="10"/>
        <v>1.5247749375</v>
      </c>
      <c r="P50" s="423"/>
      <c r="Q50" s="422">
        <v>35</v>
      </c>
      <c r="R50" s="412"/>
      <c r="S50" s="504">
        <f t="shared" si="11"/>
        <v>4</v>
      </c>
      <c r="T50" s="412"/>
      <c r="U50" s="250">
        <v>0.75</v>
      </c>
      <c r="V50" s="376">
        <f t="shared" si="25"/>
        <v>0</v>
      </c>
      <c r="W50" s="649">
        <f t="shared" si="19"/>
        <v>0.5495192307692309</v>
      </c>
      <c r="X50" s="611">
        <v>0.47</v>
      </c>
      <c r="Y50" s="526">
        <v>32</v>
      </c>
      <c r="Z50" s="529">
        <v>1.2</v>
      </c>
      <c r="AA50" s="530">
        <v>3</v>
      </c>
      <c r="AB50" s="514">
        <f t="shared" si="13"/>
        <v>5.5</v>
      </c>
      <c r="AC50" s="396">
        <f t="shared" si="14"/>
        <v>0.25</v>
      </c>
      <c r="AD50" s="394">
        <f t="shared" si="15"/>
        <v>0.225</v>
      </c>
      <c r="AE50" s="394">
        <f t="shared" si="16"/>
        <v>0.3125</v>
      </c>
      <c r="AF50" s="400"/>
      <c r="AG50" s="383">
        <f>'All Vars D1.x'!U41</f>
        <v>1350</v>
      </c>
      <c r="AH50" s="384">
        <f t="shared" si="17"/>
        <v>169.5</v>
      </c>
      <c r="AI50" s="385" t="e">
        <f t="shared" si="4"/>
        <v>#DIV/0!</v>
      </c>
      <c r="AJ50" s="385" t="e">
        <f t="shared" si="5"/>
        <v>#DIV/0!</v>
      </c>
      <c r="AK50" s="386" t="e">
        <f t="shared" si="6"/>
        <v>#DIV/0!</v>
      </c>
      <c r="AL50" s="3"/>
      <c r="AP50" s="12"/>
      <c r="AQ50" s="129"/>
      <c r="AV50" s="181"/>
      <c r="AW50" s="73"/>
    </row>
    <row r="51" spans="1:49" ht="12.75">
      <c r="A51" s="16"/>
      <c r="B51" s="3"/>
      <c r="C51" s="3"/>
      <c r="D51" s="175">
        <f t="shared" si="26"/>
        <v>5.625</v>
      </c>
      <c r="E51" s="408">
        <f t="shared" si="20"/>
        <v>5.625</v>
      </c>
      <c r="F51" s="391"/>
      <c r="G51" s="600">
        <f t="shared" si="7"/>
        <v>3</v>
      </c>
      <c r="H51" s="600">
        <f t="shared" si="8"/>
        <v>1</v>
      </c>
      <c r="I51" s="248">
        <v>4.625</v>
      </c>
      <c r="J51" s="367">
        <v>1</v>
      </c>
      <c r="K51" s="368">
        <f t="shared" si="9"/>
        <v>0.3999125</v>
      </c>
      <c r="L51" s="411">
        <f t="shared" si="0"/>
        <v>110.95990566037736</v>
      </c>
      <c r="M51" s="411">
        <f t="shared" si="1"/>
        <v>206.0683962264151</v>
      </c>
      <c r="N51" s="104">
        <f t="shared" si="2"/>
        <v>0</v>
      </c>
      <c r="O51" s="244">
        <f t="shared" si="10"/>
        <v>1.5603999374999997</v>
      </c>
      <c r="P51" s="423"/>
      <c r="Q51" s="422">
        <v>35</v>
      </c>
      <c r="R51" s="412"/>
      <c r="S51" s="504">
        <f t="shared" si="11"/>
        <v>4</v>
      </c>
      <c r="T51" s="412"/>
      <c r="U51" s="250">
        <v>0.75</v>
      </c>
      <c r="V51" s="376">
        <f>O51*P51/($M$6*((G51-H51)+U51*H51))</f>
        <v>0</v>
      </c>
      <c r="W51" s="649">
        <f t="shared" si="19"/>
        <v>0.5218749999999999</v>
      </c>
      <c r="X51" s="611">
        <v>0.46</v>
      </c>
      <c r="Y51" s="526">
        <v>32</v>
      </c>
      <c r="Z51" s="529">
        <v>1.2</v>
      </c>
      <c r="AA51" s="530">
        <v>3</v>
      </c>
      <c r="AB51" s="514">
        <f t="shared" si="13"/>
        <v>5.625</v>
      </c>
      <c r="AC51" s="396">
        <f t="shared" si="14"/>
        <v>0.1875</v>
      </c>
      <c r="AD51" s="394">
        <f t="shared" si="15"/>
        <v>0.16875</v>
      </c>
      <c r="AE51" s="394">
        <f t="shared" si="16"/>
        <v>0.234375</v>
      </c>
      <c r="AF51" s="400"/>
      <c r="AG51" s="383">
        <f>'All Vars D1.x'!U42</f>
        <v>1350</v>
      </c>
      <c r="AH51" s="384">
        <f t="shared" si="17"/>
        <v>169.5</v>
      </c>
      <c r="AI51" s="385" t="e">
        <f t="shared" si="4"/>
        <v>#DIV/0!</v>
      </c>
      <c r="AJ51" s="385" t="e">
        <f t="shared" si="5"/>
        <v>#DIV/0!</v>
      </c>
      <c r="AK51" s="386" t="e">
        <f t="shared" si="6"/>
        <v>#DIV/0!</v>
      </c>
      <c r="AL51" s="3"/>
      <c r="AP51" s="12"/>
      <c r="AQ51" s="129"/>
      <c r="AV51" s="181"/>
      <c r="AW51" s="73"/>
    </row>
    <row r="52" spans="1:49" ht="12.75">
      <c r="A52" s="16"/>
      <c r="B52" s="3"/>
      <c r="C52" s="3"/>
      <c r="D52" s="175">
        <f t="shared" si="26"/>
        <v>5.75</v>
      </c>
      <c r="E52" s="408">
        <f t="shared" si="20"/>
        <v>5.75</v>
      </c>
      <c r="F52" s="391"/>
      <c r="G52" s="600">
        <f t="shared" si="7"/>
        <v>4</v>
      </c>
      <c r="H52" s="600">
        <f t="shared" si="8"/>
        <v>2</v>
      </c>
      <c r="I52" s="248">
        <v>5.5</v>
      </c>
      <c r="J52" s="367">
        <v>1</v>
      </c>
      <c r="K52" s="368">
        <f t="shared" si="9"/>
        <v>0.4784</v>
      </c>
      <c r="L52" s="411">
        <f t="shared" si="0"/>
        <v>113.32075471698114</v>
      </c>
      <c r="M52" s="411">
        <f t="shared" si="1"/>
        <v>210.4528301886793</v>
      </c>
      <c r="N52" s="104">
        <f t="shared" si="2"/>
        <v>0</v>
      </c>
      <c r="O52" s="244">
        <f t="shared" si="10"/>
        <v>1.573656</v>
      </c>
      <c r="P52" s="423"/>
      <c r="Q52" s="422">
        <v>35</v>
      </c>
      <c r="R52" s="412"/>
      <c r="S52" s="504">
        <f t="shared" si="11"/>
        <v>4</v>
      </c>
      <c r="T52" s="412"/>
      <c r="U52" s="250">
        <v>0.45</v>
      </c>
      <c r="V52" s="376">
        <f t="shared" si="25"/>
        <v>0</v>
      </c>
      <c r="W52" s="649">
        <f t="shared" si="19"/>
        <v>0.49423076923076925</v>
      </c>
      <c r="X52" s="611">
        <v>0.46</v>
      </c>
      <c r="Y52" s="526">
        <v>32</v>
      </c>
      <c r="Z52" s="529">
        <v>1.2</v>
      </c>
      <c r="AA52" s="530">
        <v>3</v>
      </c>
      <c r="AB52" s="514">
        <f t="shared" si="13"/>
        <v>5.75</v>
      </c>
      <c r="AC52" s="396">
        <f t="shared" si="14"/>
        <v>0.125</v>
      </c>
      <c r="AD52" s="394">
        <f t="shared" si="15"/>
        <v>0.1125</v>
      </c>
      <c r="AE52" s="394">
        <f t="shared" si="16"/>
        <v>0.15625</v>
      </c>
      <c r="AF52" s="400"/>
      <c r="AG52" s="383">
        <f>'All Vars D1.x'!U43</f>
        <v>1350</v>
      </c>
      <c r="AH52" s="384">
        <f t="shared" si="17"/>
        <v>169.5</v>
      </c>
      <c r="AI52" s="385" t="e">
        <f t="shared" si="4"/>
        <v>#DIV/0!</v>
      </c>
      <c r="AJ52" s="385" t="e">
        <f t="shared" si="5"/>
        <v>#DIV/0!</v>
      </c>
      <c r="AK52" s="386" t="e">
        <f t="shared" si="6"/>
        <v>#DIV/0!</v>
      </c>
      <c r="AL52" s="3"/>
      <c r="AP52" s="12"/>
      <c r="AQ52" s="129"/>
      <c r="AV52" s="181"/>
      <c r="AW52" s="73"/>
    </row>
    <row r="53" spans="1:49" ht="12.75">
      <c r="A53" s="16"/>
      <c r="B53" s="3"/>
      <c r="C53" s="3"/>
      <c r="D53" s="175">
        <f t="shared" si="26"/>
        <v>5.875</v>
      </c>
      <c r="E53" s="408">
        <f t="shared" si="20"/>
        <v>5.875</v>
      </c>
      <c r="F53" s="391"/>
      <c r="G53" s="600">
        <f t="shared" si="7"/>
        <v>4</v>
      </c>
      <c r="H53" s="600">
        <f t="shared" si="8"/>
        <v>2</v>
      </c>
      <c r="I53" s="248">
        <v>5.5</v>
      </c>
      <c r="J53" s="367">
        <v>1</v>
      </c>
      <c r="K53" s="368">
        <f t="shared" si="9"/>
        <v>0.4784</v>
      </c>
      <c r="L53" s="411">
        <f t="shared" si="0"/>
        <v>115.6816037735849</v>
      </c>
      <c r="M53" s="411">
        <f t="shared" si="1"/>
        <v>214.8372641509434</v>
      </c>
      <c r="N53" s="104">
        <f t="shared" si="2"/>
        <v>0</v>
      </c>
      <c r="O53" s="244">
        <f t="shared" si="10"/>
        <v>1.609281</v>
      </c>
      <c r="P53" s="423"/>
      <c r="Q53" s="422">
        <v>35</v>
      </c>
      <c r="R53" s="412"/>
      <c r="S53" s="504">
        <f t="shared" si="11"/>
        <v>4</v>
      </c>
      <c r="T53" s="412"/>
      <c r="U53" s="250">
        <v>0.45</v>
      </c>
      <c r="V53" s="376">
        <f t="shared" si="25"/>
        <v>0</v>
      </c>
      <c r="W53" s="649">
        <f t="shared" si="19"/>
        <v>0.4665865384615384</v>
      </c>
      <c r="X53" s="611">
        <v>0.45</v>
      </c>
      <c r="Y53" s="526">
        <v>32</v>
      </c>
      <c r="Z53" s="529">
        <v>1.2</v>
      </c>
      <c r="AA53" s="530">
        <v>3</v>
      </c>
      <c r="AB53" s="514">
        <f t="shared" si="13"/>
        <v>5.875</v>
      </c>
      <c r="AC53" s="396">
        <f t="shared" si="14"/>
        <v>0.0625</v>
      </c>
      <c r="AD53" s="394">
        <f t="shared" si="15"/>
        <v>0.05625</v>
      </c>
      <c r="AE53" s="394">
        <f t="shared" si="16"/>
        <v>0.078125</v>
      </c>
      <c r="AF53" s="400"/>
      <c r="AG53" s="383">
        <f>'All Vars D1.x'!U44</f>
        <v>1350</v>
      </c>
      <c r="AH53" s="384">
        <f t="shared" si="17"/>
        <v>169.5</v>
      </c>
      <c r="AI53" s="385" t="e">
        <f t="shared" si="4"/>
        <v>#DIV/0!</v>
      </c>
      <c r="AJ53" s="385" t="e">
        <f t="shared" si="5"/>
        <v>#DIV/0!</v>
      </c>
      <c r="AK53" s="386" t="e">
        <f t="shared" si="6"/>
        <v>#DIV/0!</v>
      </c>
      <c r="AL53" s="3"/>
      <c r="AP53" s="12"/>
      <c r="AQ53" s="129"/>
      <c r="AV53" s="181"/>
      <c r="AW53" s="73"/>
    </row>
    <row r="54" spans="1:49" ht="13.5" thickBot="1">
      <c r="A54" s="16"/>
      <c r="B54" s="3"/>
      <c r="C54" s="3"/>
      <c r="D54" s="176">
        <f t="shared" si="26"/>
        <v>6</v>
      </c>
      <c r="E54" s="408">
        <f t="shared" si="20"/>
        <v>6</v>
      </c>
      <c r="F54" s="392"/>
      <c r="G54" s="600">
        <f t="shared" si="7"/>
        <v>4</v>
      </c>
      <c r="H54" s="600">
        <f t="shared" si="8"/>
        <v>2</v>
      </c>
      <c r="I54" s="370">
        <v>5.5</v>
      </c>
      <c r="J54" s="371">
        <v>1</v>
      </c>
      <c r="K54" s="372">
        <f t="shared" si="9"/>
        <v>0.4784</v>
      </c>
      <c r="L54" s="411">
        <f t="shared" si="0"/>
        <v>118.04245283018868</v>
      </c>
      <c r="M54" s="411">
        <f t="shared" si="1"/>
        <v>219.22169811320757</v>
      </c>
      <c r="N54" s="139">
        <f t="shared" si="2"/>
        <v>0</v>
      </c>
      <c r="O54" s="244">
        <f t="shared" si="10"/>
        <v>1.644906</v>
      </c>
      <c r="P54" s="423"/>
      <c r="Q54" s="422">
        <v>35</v>
      </c>
      <c r="R54" s="412"/>
      <c r="S54" s="504">
        <f t="shared" si="11"/>
        <v>4</v>
      </c>
      <c r="T54" s="412"/>
      <c r="U54" s="373">
        <v>0.45</v>
      </c>
      <c r="V54" s="293">
        <f t="shared" si="25"/>
        <v>0</v>
      </c>
      <c r="W54" s="614">
        <v>0.45</v>
      </c>
      <c r="X54" s="612">
        <v>0.45</v>
      </c>
      <c r="Y54" s="531">
        <v>32</v>
      </c>
      <c r="Z54" s="532">
        <v>1.2</v>
      </c>
      <c r="AA54" s="533">
        <v>3</v>
      </c>
      <c r="AB54" s="515">
        <f t="shared" si="13"/>
        <v>6</v>
      </c>
      <c r="AC54" s="396">
        <f t="shared" si="14"/>
        <v>0</v>
      </c>
      <c r="AD54" s="395">
        <f t="shared" si="15"/>
        <v>0</v>
      </c>
      <c r="AE54" s="393"/>
      <c r="AF54" s="401"/>
      <c r="AG54" s="387">
        <f>'All Vars D1.x'!U45</f>
        <v>1350</v>
      </c>
      <c r="AH54" s="388">
        <f t="shared" si="17"/>
        <v>169.5</v>
      </c>
      <c r="AI54" s="389" t="e">
        <f t="shared" si="4"/>
        <v>#DIV/0!</v>
      </c>
      <c r="AJ54" s="389" t="e">
        <f t="shared" si="5"/>
        <v>#DIV/0!</v>
      </c>
      <c r="AK54" s="390" t="e">
        <f t="shared" si="6"/>
        <v>#DIV/0!</v>
      </c>
      <c r="AL54" s="3"/>
      <c r="AP54" s="12"/>
      <c r="AQ54" s="129"/>
      <c r="AV54" s="181"/>
      <c r="AW54" s="73"/>
    </row>
    <row r="55" spans="1:49" ht="12.75">
      <c r="A55" s="16"/>
      <c r="B55" s="95"/>
      <c r="C55" s="95"/>
      <c r="D55" s="95"/>
      <c r="E55" s="232"/>
      <c r="F55" s="232"/>
      <c r="G55" s="231"/>
      <c r="H55" s="231"/>
      <c r="I55" s="235"/>
      <c r="J55" s="235"/>
      <c r="K55" s="236"/>
      <c r="L55" s="159"/>
      <c r="M55" s="159"/>
      <c r="N55" s="159"/>
      <c r="O55" s="237"/>
      <c r="P55" s="238"/>
      <c r="Q55" s="238"/>
      <c r="R55" s="239"/>
      <c r="S55" s="239"/>
      <c r="T55" s="239"/>
      <c r="U55" s="240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2"/>
      <c r="AG55" s="243"/>
      <c r="AH55" s="95"/>
      <c r="AI55" s="24"/>
      <c r="AJ55" s="24"/>
      <c r="AK55" s="12"/>
      <c r="AL55" s="20"/>
      <c r="AM55" s="6"/>
      <c r="AN55" s="6"/>
      <c r="AO55" s="6"/>
      <c r="AP55" s="12"/>
      <c r="AQ55" s="129"/>
      <c r="AV55" s="181"/>
      <c r="AW55" s="73"/>
    </row>
    <row r="56" spans="1:49" ht="12.75">
      <c r="A56" s="16"/>
      <c r="M56" s="159"/>
      <c r="N56" s="159"/>
      <c r="O56" s="237"/>
      <c r="P56" s="238"/>
      <c r="Q56" s="238"/>
      <c r="R56" s="239"/>
      <c r="S56" s="239"/>
      <c r="T56" s="239"/>
      <c r="U56" s="240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2"/>
      <c r="AG56" s="243"/>
      <c r="AH56" s="95"/>
      <c r="AI56" s="24"/>
      <c r="AJ56" s="24"/>
      <c r="AK56" s="12"/>
      <c r="AL56" s="20"/>
      <c r="AM56" s="6"/>
      <c r="AN56" s="6"/>
      <c r="AO56" s="6"/>
      <c r="AP56" s="12"/>
      <c r="AQ56" s="129"/>
      <c r="AV56" s="181"/>
      <c r="AW56" s="73"/>
    </row>
    <row r="57" spans="1:49" ht="12.75">
      <c r="A57" s="16"/>
      <c r="B57" s="95"/>
      <c r="C57" s="95"/>
      <c r="D57" s="95"/>
      <c r="E57" s="232"/>
      <c r="F57" s="232"/>
      <c r="G57" s="231"/>
      <c r="H57" s="231"/>
      <c r="I57" s="235"/>
      <c r="J57" s="235"/>
      <c r="K57" s="236"/>
      <c r="L57" s="159"/>
      <c r="M57" s="159"/>
      <c r="N57" s="159"/>
      <c r="O57" s="237"/>
      <c r="P57" s="238"/>
      <c r="Q57" s="238"/>
      <c r="R57" s="239"/>
      <c r="S57" s="239"/>
      <c r="T57" s="239"/>
      <c r="U57" s="240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2"/>
      <c r="AG57" s="243"/>
      <c r="AH57" s="95"/>
      <c r="AI57" s="24"/>
      <c r="AJ57" s="24"/>
      <c r="AK57" s="12"/>
      <c r="AL57" s="20"/>
      <c r="AM57" s="6"/>
      <c r="AN57" s="6"/>
      <c r="AO57" s="6"/>
      <c r="AP57" s="12"/>
      <c r="AQ57" s="448"/>
      <c r="AR57" s="3"/>
      <c r="AS57" s="3"/>
      <c r="AT57" s="3"/>
      <c r="AV57" s="181"/>
      <c r="AW57" s="73"/>
    </row>
    <row r="58" spans="1:49" ht="12.75">
      <c r="A58" s="16"/>
      <c r="B58" s="95"/>
      <c r="C58" s="95"/>
      <c r="D58" s="95"/>
      <c r="E58" s="232"/>
      <c r="F58" s="232"/>
      <c r="G58" s="231"/>
      <c r="H58" s="231"/>
      <c r="I58" s="235"/>
      <c r="J58" s="235"/>
      <c r="K58" s="236"/>
      <c r="L58" s="159"/>
      <c r="M58" s="159"/>
      <c r="N58" s="159"/>
      <c r="O58" s="237"/>
      <c r="P58" s="238"/>
      <c r="Q58" s="238"/>
      <c r="R58" s="239"/>
      <c r="S58" s="239"/>
      <c r="T58" s="239"/>
      <c r="U58" s="240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2"/>
      <c r="AG58" s="243"/>
      <c r="AH58" s="95"/>
      <c r="AI58" s="24"/>
      <c r="AJ58" s="24"/>
      <c r="AK58" s="12"/>
      <c r="AL58" s="20"/>
      <c r="AM58" s="6"/>
      <c r="AN58" s="6"/>
      <c r="AO58" s="6"/>
      <c r="AP58" s="12"/>
      <c r="AQ58" s="448"/>
      <c r="AR58" s="3"/>
      <c r="AS58" s="3"/>
      <c r="AT58" s="3"/>
      <c r="AV58" s="181"/>
      <c r="AW58" s="73"/>
    </row>
    <row r="59" spans="1:49" ht="13.5" thickBot="1">
      <c r="A59" s="16"/>
      <c r="B59" s="95"/>
      <c r="C59" s="95"/>
      <c r="D59" s="95"/>
      <c r="E59" s="232"/>
      <c r="F59" s="232"/>
      <c r="G59" s="231"/>
      <c r="H59" s="231"/>
      <c r="I59" s="235"/>
      <c r="J59" s="235"/>
      <c r="K59" s="236"/>
      <c r="L59" s="159"/>
      <c r="M59" s="159"/>
      <c r="N59" s="159"/>
      <c r="O59" s="237"/>
      <c r="P59" s="238"/>
      <c r="Q59" s="238"/>
      <c r="R59" s="239"/>
      <c r="S59" s="239"/>
      <c r="T59" s="239"/>
      <c r="U59" s="240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2"/>
      <c r="AG59" s="243"/>
      <c r="AH59" s="95"/>
      <c r="AI59" s="24"/>
      <c r="AJ59" s="24"/>
      <c r="AK59" s="12"/>
      <c r="AL59" s="20"/>
      <c r="AM59" s="6"/>
      <c r="AN59" s="6"/>
      <c r="AO59" s="6"/>
      <c r="AP59" s="12"/>
      <c r="AQ59" s="448"/>
      <c r="AR59" s="3"/>
      <c r="AS59" s="3"/>
      <c r="AT59" s="3"/>
      <c r="AV59" s="181"/>
      <c r="AW59" s="73"/>
    </row>
    <row r="60" spans="1:49" ht="16.5" thickBot="1">
      <c r="A60" s="16"/>
      <c r="B60" s="58"/>
      <c r="C60" s="28"/>
      <c r="D60" s="28"/>
      <c r="E60" s="710" t="s">
        <v>29</v>
      </c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0"/>
      <c r="R60" s="710"/>
      <c r="S60" s="229"/>
      <c r="T60" s="229"/>
      <c r="U60" s="229"/>
      <c r="V60" s="290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6"/>
      <c r="AI60" s="709"/>
      <c r="AJ60" s="709"/>
      <c r="AK60" s="3"/>
      <c r="AL60" s="442"/>
      <c r="AM60" s="11"/>
      <c r="AN60" s="11"/>
      <c r="AO60" s="11"/>
      <c r="AP60" s="12"/>
      <c r="AQ60" s="3"/>
      <c r="AR60" s="3"/>
      <c r="AS60" s="3"/>
      <c r="AT60" s="3"/>
      <c r="AV60" s="181">
        <f>2.54^3</f>
        <v>16.387064</v>
      </c>
      <c r="AW60" s="73">
        <f>AW65*AV60</f>
        <v>52.140655202352</v>
      </c>
    </row>
    <row r="61" spans="1:49" ht="12.75">
      <c r="A61" s="16"/>
      <c r="B61" s="59"/>
      <c r="C61" s="67"/>
      <c r="D61" s="67"/>
      <c r="E61" s="38"/>
      <c r="F61" s="351"/>
      <c r="G61" s="283"/>
      <c r="H61" s="284"/>
      <c r="I61" s="33"/>
      <c r="J61" s="33"/>
      <c r="K61" s="33" t="s">
        <v>9</v>
      </c>
      <c r="L61" s="52" t="s">
        <v>25</v>
      </c>
      <c r="M61" s="52" t="s">
        <v>25</v>
      </c>
      <c r="N61" s="52" t="s">
        <v>26</v>
      </c>
      <c r="O61" s="52" t="s">
        <v>30</v>
      </c>
      <c r="P61" s="54" t="s">
        <v>13</v>
      </c>
      <c r="Q61" s="54"/>
      <c r="R61" s="54" t="s">
        <v>160</v>
      </c>
      <c r="S61" s="54"/>
      <c r="T61" s="54"/>
      <c r="U61" s="702" t="s">
        <v>236</v>
      </c>
      <c r="V61" s="137" t="s">
        <v>71</v>
      </c>
      <c r="W61" s="113"/>
      <c r="X61" s="113"/>
      <c r="Y61" s="113"/>
      <c r="Z61" s="113"/>
      <c r="AA61" s="113"/>
      <c r="AB61" s="113"/>
      <c r="AC61" s="113"/>
      <c r="AD61" s="113"/>
      <c r="AE61" s="113"/>
      <c r="AF61" s="6"/>
      <c r="AG61" s="6"/>
      <c r="AH61" s="6"/>
      <c r="AI61" s="6"/>
      <c r="AJ61" s="93"/>
      <c r="AK61" s="3"/>
      <c r="AL61" s="7"/>
      <c r="AM61" s="6"/>
      <c r="AN61" s="6"/>
      <c r="AO61" s="6"/>
      <c r="AP61" s="12"/>
      <c r="AQ61" s="6"/>
      <c r="AR61" s="3"/>
      <c r="AS61" s="449"/>
      <c r="AT61" s="3"/>
      <c r="AV61" s="181"/>
      <c r="AW61" s="73"/>
    </row>
    <row r="62" spans="1:49" ht="12.75">
      <c r="A62" s="16"/>
      <c r="B62" s="60"/>
      <c r="C62" s="68"/>
      <c r="D62" s="68"/>
      <c r="E62" s="39"/>
      <c r="F62" s="352"/>
      <c r="G62" s="285"/>
      <c r="H62" s="286"/>
      <c r="I62" s="34" t="s">
        <v>9</v>
      </c>
      <c r="J62" s="34"/>
      <c r="K62" s="34" t="s">
        <v>22</v>
      </c>
      <c r="L62" s="50" t="s">
        <v>16</v>
      </c>
      <c r="M62" s="50" t="s">
        <v>7</v>
      </c>
      <c r="N62" s="50" t="s">
        <v>27</v>
      </c>
      <c r="O62" s="50" t="s">
        <v>31</v>
      </c>
      <c r="P62" s="55" t="s">
        <v>23</v>
      </c>
      <c r="Q62" s="55"/>
      <c r="R62" s="55"/>
      <c r="S62" s="55"/>
      <c r="T62" s="55"/>
      <c r="U62" s="703"/>
      <c r="V62" s="138" t="s">
        <v>162</v>
      </c>
      <c r="W62" s="113"/>
      <c r="X62" s="113"/>
      <c r="Y62" s="113"/>
      <c r="Z62" s="113"/>
      <c r="AA62" s="113"/>
      <c r="AB62" s="113"/>
      <c r="AC62" s="113"/>
      <c r="AD62" s="113"/>
      <c r="AE62" s="113"/>
      <c r="AF62" s="6"/>
      <c r="AG62" s="6"/>
      <c r="AH62" s="6"/>
      <c r="AI62" s="6"/>
      <c r="AJ62" s="6"/>
      <c r="AK62" s="3"/>
      <c r="AL62" s="7"/>
      <c r="AM62" s="6"/>
      <c r="AN62" s="6"/>
      <c r="AO62" s="6"/>
      <c r="AP62" s="12"/>
      <c r="AQ62" s="6"/>
      <c r="AR62" s="3"/>
      <c r="AS62" s="449"/>
      <c r="AT62" s="3"/>
      <c r="AV62" s="181"/>
      <c r="AW62" s="73"/>
    </row>
    <row r="63" spans="1:49" ht="13.5" thickBot="1">
      <c r="A63" s="16"/>
      <c r="B63" s="61" t="s">
        <v>35</v>
      </c>
      <c r="C63" s="69"/>
      <c r="D63" s="69"/>
      <c r="E63" s="40" t="s">
        <v>0</v>
      </c>
      <c r="F63" s="285"/>
      <c r="G63" s="285"/>
      <c r="H63" s="286"/>
      <c r="I63" s="34" t="s">
        <v>22</v>
      </c>
      <c r="J63" s="34"/>
      <c r="K63" s="34" t="s">
        <v>14</v>
      </c>
      <c r="L63" s="50" t="s">
        <v>12</v>
      </c>
      <c r="M63" s="50" t="s">
        <v>12</v>
      </c>
      <c r="N63" s="50" t="s">
        <v>8</v>
      </c>
      <c r="O63" s="50" t="s">
        <v>17</v>
      </c>
      <c r="P63" s="55" t="s">
        <v>11</v>
      </c>
      <c r="Q63" s="55"/>
      <c r="R63" s="55" t="s">
        <v>161</v>
      </c>
      <c r="S63" s="55"/>
      <c r="T63" s="55"/>
      <c r="U63" s="703"/>
      <c r="V63" s="140" t="s">
        <v>72</v>
      </c>
      <c r="W63" s="374"/>
      <c r="X63" s="374"/>
      <c r="Y63" s="374"/>
      <c r="Z63" s="374"/>
      <c r="AA63" s="374"/>
      <c r="AB63" s="374"/>
      <c r="AC63" s="374"/>
      <c r="AD63" s="374"/>
      <c r="AE63" s="374"/>
      <c r="AF63" s="9"/>
      <c r="AG63" s="9"/>
      <c r="AH63" s="9"/>
      <c r="AI63" s="3"/>
      <c r="AJ63" s="3"/>
      <c r="AK63" s="6"/>
      <c r="AL63" s="6"/>
      <c r="AM63" s="6"/>
      <c r="AN63" s="6"/>
      <c r="AO63" s="6"/>
      <c r="AP63" s="12"/>
      <c r="AQ63" s="3"/>
      <c r="AR63" s="3"/>
      <c r="AS63" s="3"/>
      <c r="AT63" s="3"/>
      <c r="AV63" s="181"/>
      <c r="AW63" s="73"/>
    </row>
    <row r="64" spans="1:49" ht="13.5" thickBot="1">
      <c r="A64" s="16"/>
      <c r="B64" s="56" t="s">
        <v>36</v>
      </c>
      <c r="C64" s="70"/>
      <c r="D64" s="70"/>
      <c r="E64" s="41" t="s">
        <v>1</v>
      </c>
      <c r="F64" s="353"/>
      <c r="G64" s="287"/>
      <c r="H64" s="288"/>
      <c r="I64" s="35" t="s">
        <v>21</v>
      </c>
      <c r="J64" s="35"/>
      <c r="K64" s="35" t="s">
        <v>15</v>
      </c>
      <c r="L64" s="53" t="s">
        <v>18</v>
      </c>
      <c r="M64" s="53" t="s">
        <v>18</v>
      </c>
      <c r="N64" s="53" t="s">
        <v>28</v>
      </c>
      <c r="O64" s="53" t="s">
        <v>19</v>
      </c>
      <c r="P64" s="171" t="s">
        <v>20</v>
      </c>
      <c r="Q64" s="53"/>
      <c r="R64" s="53"/>
      <c r="S64" s="53"/>
      <c r="T64" s="53"/>
      <c r="U64" s="704"/>
      <c r="V64" s="170" t="s">
        <v>10</v>
      </c>
      <c r="W64" s="9"/>
      <c r="X64" s="9"/>
      <c r="Y64" s="9"/>
      <c r="Z64" s="9"/>
      <c r="AA64" s="9"/>
      <c r="AB64" s="9"/>
      <c r="AC64" s="9"/>
      <c r="AD64" s="9"/>
      <c r="AE64" s="9"/>
      <c r="AF64" s="3"/>
      <c r="AG64" s="3"/>
      <c r="AH64" s="3"/>
      <c r="AI64" s="709"/>
      <c r="AJ64" s="709"/>
      <c r="AK64" s="3"/>
      <c r="AL64" s="3"/>
      <c r="AM64" s="3"/>
      <c r="AN64" s="3"/>
      <c r="AP64" s="3"/>
      <c r="AQ64" s="3"/>
      <c r="AR64" s="3"/>
      <c r="AS64" s="3"/>
      <c r="AT64" s="3"/>
      <c r="AV64" s="181" t="s">
        <v>175</v>
      </c>
      <c r="AW64" s="73" t="s">
        <v>176</v>
      </c>
    </row>
    <row r="65" spans="1:49" ht="13.5" thickBot="1">
      <c r="A65" s="16"/>
      <c r="B65" s="62">
        <v>1</v>
      </c>
      <c r="C65" s="71"/>
      <c r="D65" s="71"/>
      <c r="E65" s="63">
        <v>7</v>
      </c>
      <c r="F65" s="63"/>
      <c r="G65" s="339">
        <v>4</v>
      </c>
      <c r="H65" s="339">
        <v>2</v>
      </c>
      <c r="I65" s="63">
        <v>2.5</v>
      </c>
      <c r="J65" s="63"/>
      <c r="K65" s="340">
        <f>2*LOOKUP(I65,$AQ$3:$AQ$8,$AX$3:$AX$8)</f>
        <v>0.71365</v>
      </c>
      <c r="L65" s="411" t="str">
        <f>IF(D65=0," ",(D65+0.25)*($A$13*$B$26*$A$23/$B$27)*0.43)</f>
        <v> </v>
      </c>
      <c r="M65" s="411" t="str">
        <f>IF(D65=0," ",(D65+0.25)*($A$13*$B$26*$A$23/$B$27)*0.6)</f>
        <v> </v>
      </c>
      <c r="N65" s="139">
        <f>IF(E65=0," ",($A$31*P65))</f>
        <v>3.5999999999999996</v>
      </c>
      <c r="O65" s="291">
        <f>IF(E65=0," ",((E65+0.25)*$A$13-K65)*0.285)</f>
        <v>1.8628597499999997</v>
      </c>
      <c r="P65" s="246">
        <v>0.6</v>
      </c>
      <c r="Q65" s="246"/>
      <c r="R65" s="177">
        <v>34</v>
      </c>
      <c r="S65" s="363"/>
      <c r="T65" s="363"/>
      <c r="U65" s="292">
        <v>0.5</v>
      </c>
      <c r="V65" s="293">
        <f>O65*P65/($M$6*((G65-H65)+U65*H65))</f>
        <v>181.96414037999995</v>
      </c>
      <c r="W65" s="375"/>
      <c r="X65" s="375"/>
      <c r="Y65" s="375"/>
      <c r="Z65" s="375"/>
      <c r="AA65" s="375"/>
      <c r="AB65" s="375"/>
      <c r="AC65" s="375"/>
      <c r="AD65" s="375"/>
      <c r="AE65" s="375"/>
      <c r="AF65" s="289"/>
      <c r="AG65" s="185"/>
      <c r="AH65" s="72"/>
      <c r="AI65" s="709"/>
      <c r="AJ65" s="709"/>
      <c r="AK65" s="443"/>
      <c r="AL65" s="444"/>
      <c r="AM65" s="3"/>
      <c r="AN65" s="3"/>
      <c r="AP65" s="3"/>
      <c r="AQ65" s="3"/>
      <c r="AR65" s="3"/>
      <c r="AS65" s="3"/>
      <c r="AT65" s="3"/>
      <c r="AV65" s="182">
        <v>3181.818</v>
      </c>
      <c r="AW65" s="183">
        <f>AV65/1000</f>
        <v>3.1818180000000003</v>
      </c>
    </row>
    <row r="66" spans="1:40" ht="12.75">
      <c r="A66" s="32" t="s">
        <v>38</v>
      </c>
      <c r="B66" s="23" t="s">
        <v>37</v>
      </c>
      <c r="C66" s="23"/>
      <c r="D66" s="23"/>
      <c r="E66" s="7"/>
      <c r="F66" s="7"/>
      <c r="G66" s="7"/>
      <c r="H66" s="7"/>
      <c r="I66" s="20"/>
      <c r="J66" s="20"/>
      <c r="K66" s="21"/>
      <c r="L66" s="24"/>
      <c r="M66" s="24"/>
      <c r="N66" s="24"/>
      <c r="O66" s="25"/>
      <c r="P66" s="25"/>
      <c r="Q66" s="25"/>
      <c r="R66" s="25"/>
      <c r="S66" s="25"/>
      <c r="T66" s="25"/>
      <c r="U66" s="25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6"/>
      <c r="AJ66" s="445"/>
      <c r="AK66" s="443"/>
      <c r="AL66" s="446"/>
      <c r="AM66" s="3"/>
      <c r="AN66" s="3"/>
    </row>
    <row r="67" spans="1:40" ht="13.5" thickBot="1">
      <c r="A67" s="118"/>
      <c r="B67" s="119" t="s">
        <v>39</v>
      </c>
      <c r="C67" s="119"/>
      <c r="D67" s="119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1"/>
      <c r="AI67" s="6"/>
      <c r="AJ67" s="7"/>
      <c r="AK67" s="3"/>
      <c r="AL67" s="3"/>
      <c r="AM67" s="3"/>
      <c r="AN67" s="3"/>
    </row>
    <row r="68" spans="1:40" ht="12.75">
      <c r="A68" s="711"/>
      <c r="B68" s="711"/>
      <c r="C68" s="711"/>
      <c r="D68" s="711"/>
      <c r="E68" s="711"/>
      <c r="F68" s="711"/>
      <c r="G68" s="711"/>
      <c r="H68" s="711"/>
      <c r="I68" s="711"/>
      <c r="J68" s="711"/>
      <c r="K68" s="711"/>
      <c r="L68" s="711"/>
      <c r="M68" s="711"/>
      <c r="N68" s="711"/>
      <c r="O68" s="711"/>
      <c r="P68" s="711"/>
      <c r="Q68" s="711"/>
      <c r="R68" s="711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709"/>
      <c r="AJ68" s="709"/>
      <c r="AK68" s="3"/>
      <c r="AL68" s="3"/>
      <c r="AM68" s="3"/>
      <c r="AN68" s="3"/>
    </row>
    <row r="69" spans="1:40" ht="12.75">
      <c r="A69" s="711"/>
      <c r="B69" s="711"/>
      <c r="C69" s="711"/>
      <c r="D69" s="711"/>
      <c r="E69" s="711"/>
      <c r="F69" s="711"/>
      <c r="G69" s="711"/>
      <c r="H69" s="711"/>
      <c r="I69" s="711"/>
      <c r="J69" s="711"/>
      <c r="K69" s="711"/>
      <c r="L69" s="711"/>
      <c r="M69" s="711"/>
      <c r="N69" s="711"/>
      <c r="O69" s="711"/>
      <c r="P69" s="711"/>
      <c r="Q69" s="711"/>
      <c r="R69" s="711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709"/>
      <c r="AJ69" s="709"/>
      <c r="AK69" s="3"/>
      <c r="AL69" s="3"/>
      <c r="AM69" s="3"/>
      <c r="AN69" s="3"/>
    </row>
    <row r="70" spans="2:40" ht="12.75">
      <c r="B70" s="3"/>
      <c r="C70" s="3"/>
      <c r="D70" s="3"/>
      <c r="E70" s="4"/>
      <c r="F70" s="4"/>
      <c r="G70" s="4"/>
      <c r="H70" s="4"/>
      <c r="I70" s="5"/>
      <c r="J70" s="5"/>
      <c r="K70" s="5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6"/>
      <c r="AJ70" s="445"/>
      <c r="AK70" s="443"/>
      <c r="AL70" s="445"/>
      <c r="AM70" s="3"/>
      <c r="AN70" s="3"/>
    </row>
    <row r="71" spans="2:40" ht="12.75">
      <c r="B71" s="3"/>
      <c r="C71" s="3"/>
      <c r="D71" s="3"/>
      <c r="AI71" s="6"/>
      <c r="AJ71" s="7"/>
      <c r="AK71" s="443"/>
      <c r="AL71" s="446"/>
      <c r="AM71" s="3"/>
      <c r="AN71" s="3"/>
    </row>
    <row r="72" spans="2:40" ht="12.75">
      <c r="B72" s="6"/>
      <c r="C72" s="6"/>
      <c r="D72" s="6"/>
      <c r="AI72" s="5"/>
      <c r="AJ72" s="3"/>
      <c r="AK72" s="3"/>
      <c r="AL72" s="3"/>
      <c r="AM72" s="3"/>
      <c r="AN72" s="3"/>
    </row>
    <row r="73" spans="2:40" ht="12.75">
      <c r="B73" s="6"/>
      <c r="C73" s="6"/>
      <c r="D73" s="6"/>
      <c r="AI73" s="5"/>
      <c r="AJ73" s="3"/>
      <c r="AK73" s="443"/>
      <c r="AL73" s="447"/>
      <c r="AM73" s="3"/>
      <c r="AN73" s="3"/>
    </row>
    <row r="74" spans="2:40" ht="12.75">
      <c r="B74" s="9"/>
      <c r="C74" s="9"/>
      <c r="D74" s="9"/>
      <c r="AI74" s="5"/>
      <c r="AJ74" s="3"/>
      <c r="AK74" s="3"/>
      <c r="AL74" s="3"/>
      <c r="AM74" s="3"/>
      <c r="AN74" s="3"/>
    </row>
    <row r="75" spans="2:40" ht="12.75">
      <c r="B75" s="18"/>
      <c r="C75" s="18"/>
      <c r="D75" s="18"/>
      <c r="AI75" s="5"/>
      <c r="AJ75" s="3"/>
      <c r="AK75" s="3"/>
      <c r="AL75" s="3"/>
      <c r="AM75" s="3"/>
      <c r="AN75" s="3"/>
    </row>
    <row r="76" spans="2:4" ht="12.75">
      <c r="B76" s="3"/>
      <c r="C76" s="3"/>
      <c r="D76" s="3"/>
    </row>
    <row r="77" spans="2:4" ht="12.75">
      <c r="B77" s="6"/>
      <c r="C77" s="6"/>
      <c r="D77" s="6"/>
    </row>
    <row r="78" spans="2:4" ht="12.75">
      <c r="B78" s="6"/>
      <c r="C78" s="6"/>
      <c r="D78" s="6"/>
    </row>
    <row r="79" spans="2:4" ht="12.75">
      <c r="B79" s="3"/>
      <c r="C79" s="3"/>
      <c r="D79" s="3"/>
    </row>
    <row r="80" spans="2:4" ht="12.75">
      <c r="B80" s="6"/>
      <c r="C80" s="6"/>
      <c r="D80" s="6"/>
    </row>
    <row r="81" spans="2:4" ht="12.75">
      <c r="B81" s="9"/>
      <c r="C81" s="9"/>
      <c r="D81" s="9"/>
    </row>
    <row r="82" spans="2:4" ht="12.75">
      <c r="B82" s="6"/>
      <c r="C82" s="6"/>
      <c r="D82" s="6"/>
    </row>
    <row r="83" spans="2:4" ht="12.75">
      <c r="B83" s="3"/>
      <c r="C83" s="3"/>
      <c r="D83" s="3"/>
    </row>
    <row r="84" spans="2:4" ht="12.75">
      <c r="B84" s="6"/>
      <c r="C84" s="6"/>
      <c r="D84" s="6"/>
    </row>
    <row r="85" spans="2:4" ht="12.75">
      <c r="B85" s="6"/>
      <c r="C85" s="6"/>
      <c r="D85" s="6"/>
    </row>
    <row r="86" spans="2:4" ht="12.75">
      <c r="B86" s="6"/>
      <c r="C86" s="6"/>
      <c r="D86" s="6"/>
    </row>
    <row r="87" spans="2:4" ht="12.75">
      <c r="B87" s="6"/>
      <c r="C87" s="6"/>
      <c r="D87" s="6"/>
    </row>
    <row r="88" spans="2:4" ht="12.75">
      <c r="B88" s="3"/>
      <c r="C88" s="3"/>
      <c r="D88" s="3"/>
    </row>
    <row r="89" spans="2:4" ht="12.75">
      <c r="B89" s="6"/>
      <c r="C89" s="6"/>
      <c r="D89" s="6"/>
    </row>
    <row r="90" spans="2:4" ht="12.75">
      <c r="B90" s="6"/>
      <c r="C90" s="6"/>
      <c r="D90" s="6"/>
    </row>
    <row r="91" spans="2:4" ht="12.75">
      <c r="B91" s="6"/>
      <c r="C91" s="6"/>
      <c r="D91" s="6"/>
    </row>
    <row r="92" spans="2:4" ht="12.75">
      <c r="B92" s="6"/>
      <c r="C92" s="6"/>
      <c r="D92" s="6"/>
    </row>
    <row r="93" spans="2:4" ht="12.75">
      <c r="B93" s="3"/>
      <c r="C93" s="3"/>
      <c r="D93" s="3"/>
    </row>
    <row r="94" spans="2:4" ht="12.75">
      <c r="B94" s="6"/>
      <c r="C94" s="6"/>
      <c r="D94" s="6"/>
    </row>
    <row r="95" spans="2:4" ht="12.75">
      <c r="B95" s="6"/>
      <c r="C95" s="6"/>
      <c r="D95" s="6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</sheetData>
  <sheetProtection sheet="1" objects="1" scenarios="1"/>
  <mergeCells count="24">
    <mergeCell ref="A6:B6"/>
    <mergeCell ref="A7:B7"/>
    <mergeCell ref="A9:B9"/>
    <mergeCell ref="AI68:AJ68"/>
    <mergeCell ref="AH7:AK7"/>
    <mergeCell ref="A20:B20"/>
    <mergeCell ref="A13:B13"/>
    <mergeCell ref="A18:B18"/>
    <mergeCell ref="A19:B19"/>
    <mergeCell ref="A10:B10"/>
    <mergeCell ref="AI69:AJ69"/>
    <mergeCell ref="E60:R60"/>
    <mergeCell ref="AI60:AJ60"/>
    <mergeCell ref="AI64:AJ64"/>
    <mergeCell ref="A68:R68"/>
    <mergeCell ref="A69:R69"/>
    <mergeCell ref="AI65:AJ65"/>
    <mergeCell ref="U61:U64"/>
    <mergeCell ref="A12:B12"/>
    <mergeCell ref="A16:B16"/>
    <mergeCell ref="G8:G9"/>
    <mergeCell ref="U8:U11"/>
    <mergeCell ref="F8:F9"/>
    <mergeCell ref="T8:T9"/>
  </mergeCells>
  <printOptions/>
  <pageMargins left="0.49" right="0" top="0.18" bottom="0" header="0" footer="0"/>
  <pageSetup horizontalDpi="600" verticalDpi="600" orientation="landscape" scale="98" r:id="rId2"/>
  <colBreaks count="1" manualBreakCount="1">
    <brk id="3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C132"/>
  <sheetViews>
    <sheetView workbookViewId="0" topLeftCell="A1">
      <selection activeCell="E33" sqref="E33"/>
    </sheetView>
  </sheetViews>
  <sheetFormatPr defaultColWidth="9.140625" defaultRowHeight="12.75"/>
  <cols>
    <col min="1" max="1" width="3.8515625" style="0" customWidth="1"/>
    <col min="2" max="2" width="6.140625" style="0" bestFit="1" customWidth="1"/>
    <col min="3" max="3" width="7.140625" style="0" customWidth="1"/>
    <col min="4" max="4" width="7.140625" style="2" customWidth="1"/>
    <col min="5" max="5" width="4.8515625" style="0" customWidth="1"/>
    <col min="6" max="6" width="5.00390625" style="0" bestFit="1" customWidth="1"/>
    <col min="7" max="7" width="5.57421875" style="2" customWidth="1"/>
    <col min="8" max="11" width="6.00390625" style="2" customWidth="1"/>
    <col min="12" max="12" width="5.8515625" style="2" bestFit="1" customWidth="1"/>
    <col min="13" max="14" width="6.8515625" style="29" customWidth="1"/>
    <col min="15" max="15" width="7.8515625" style="0" customWidth="1"/>
    <col min="16" max="16" width="5.421875" style="0" customWidth="1"/>
    <col min="17" max="17" width="5.8515625" style="0" customWidth="1"/>
    <col min="18" max="18" width="7.00390625" style="0" customWidth="1"/>
    <col min="19" max="19" width="7.00390625" style="0" hidden="1" customWidth="1"/>
    <col min="20" max="20" width="7.57421875" style="0" customWidth="1"/>
    <col min="21" max="21" width="7.140625" style="0" customWidth="1"/>
    <col min="22" max="22" width="5.8515625" style="0" customWidth="1"/>
    <col min="23" max="23" width="6.57421875" style="0" customWidth="1"/>
    <col min="24" max="27" width="6.140625" style="0" customWidth="1"/>
    <col min="28" max="28" width="8.00390625" style="0" customWidth="1"/>
    <col min="29" max="29" width="6.8515625" style="0" customWidth="1"/>
    <col min="30" max="30" width="4.57421875" style="2" customWidth="1"/>
    <col min="31" max="31" width="7.140625" style="0" customWidth="1"/>
    <col min="32" max="33" width="6.421875" style="0" customWidth="1"/>
    <col min="34" max="34" width="8.57421875" style="0" customWidth="1"/>
    <col min="35" max="35" width="6.140625" style="0" customWidth="1"/>
    <col min="36" max="55" width="3.00390625" style="0" bestFit="1" customWidth="1"/>
  </cols>
  <sheetData>
    <row r="1" spans="1:55" ht="16.5" thickBot="1">
      <c r="A1">
        <v>1</v>
      </c>
      <c r="B1">
        <v>2</v>
      </c>
      <c r="C1">
        <v>3</v>
      </c>
      <c r="D1">
        <v>4</v>
      </c>
      <c r="E1" s="2">
        <v>5</v>
      </c>
      <c r="F1" s="2">
        <v>6</v>
      </c>
      <c r="G1" s="2">
        <v>7</v>
      </c>
      <c r="H1" s="29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 s="42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 s="1">
        <v>0.75</v>
      </c>
      <c r="AE1" s="86">
        <v>31</v>
      </c>
      <c r="AF1">
        <v>32</v>
      </c>
      <c r="AG1">
        <v>33</v>
      </c>
      <c r="AH1" s="13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</row>
    <row r="2" spans="1:31" ht="40.5" customHeight="1">
      <c r="A2" s="256" t="s">
        <v>105</v>
      </c>
      <c r="B2" s="257" t="s">
        <v>106</v>
      </c>
      <c r="C2" s="258" t="s">
        <v>63</v>
      </c>
      <c r="D2" s="259" t="s">
        <v>124</v>
      </c>
      <c r="E2" s="257" t="s">
        <v>62</v>
      </c>
      <c r="F2" s="257" t="s">
        <v>104</v>
      </c>
      <c r="G2" s="257" t="s">
        <v>103</v>
      </c>
      <c r="H2" s="257" t="s">
        <v>102</v>
      </c>
      <c r="I2" s="260" t="s">
        <v>115</v>
      </c>
      <c r="J2" s="260" t="s">
        <v>116</v>
      </c>
      <c r="K2" s="260" t="s">
        <v>117</v>
      </c>
      <c r="L2" s="257" t="s">
        <v>101</v>
      </c>
      <c r="M2" s="261" t="s">
        <v>100</v>
      </c>
      <c r="N2" s="259" t="s">
        <v>119</v>
      </c>
      <c r="O2" s="257" t="s">
        <v>99</v>
      </c>
      <c r="P2" s="276" t="s">
        <v>98</v>
      </c>
      <c r="Q2" s="277"/>
      <c r="R2" s="257" t="s">
        <v>97</v>
      </c>
      <c r="S2" s="259" t="s">
        <v>118</v>
      </c>
      <c r="T2" s="257" t="s">
        <v>23</v>
      </c>
      <c r="U2" s="257" t="s">
        <v>107</v>
      </c>
      <c r="V2" s="257" t="s">
        <v>94</v>
      </c>
      <c r="W2" s="257" t="s">
        <v>95</v>
      </c>
      <c r="X2" s="257" t="s">
        <v>263</v>
      </c>
      <c r="Y2" s="257" t="s">
        <v>96</v>
      </c>
      <c r="Z2" s="257" t="s">
        <v>239</v>
      </c>
      <c r="AA2" s="257" t="s">
        <v>240</v>
      </c>
      <c r="AB2" s="257" t="s">
        <v>261</v>
      </c>
      <c r="AC2" s="278" t="s">
        <v>65</v>
      </c>
      <c r="AD2" s="279"/>
      <c r="AE2" s="143" t="s">
        <v>349</v>
      </c>
    </row>
    <row r="3" spans="1:37" s="86" customFormat="1" ht="12.75">
      <c r="A3" s="262">
        <f>B3*25.4</f>
        <v>19.049999999999997</v>
      </c>
      <c r="B3" s="125">
        <f>'D1.x'!E12</f>
        <v>0.75</v>
      </c>
      <c r="C3" s="123">
        <f>'D1.x'!I12</f>
        <v>0.625</v>
      </c>
      <c r="D3" s="148">
        <f>'D1.x'!P12</f>
        <v>0</v>
      </c>
      <c r="E3" s="122">
        <f>'D1.x'!G12</f>
        <v>1</v>
      </c>
      <c r="F3" s="122">
        <f>'D1.x'!L12</f>
        <v>18.88679245283019</v>
      </c>
      <c r="G3" s="122">
        <f>'D1.x'!M12</f>
        <v>35.07547169811321</v>
      </c>
      <c r="H3" s="124">
        <f>'D1.x'!N12</f>
        <v>0</v>
      </c>
      <c r="I3" s="648">
        <v>1</v>
      </c>
      <c r="J3" s="648">
        <v>12</v>
      </c>
      <c r="K3" s="154">
        <f>IF(B3-C3&lt;0.51,0,B3-C3-0.32)</f>
        <v>0</v>
      </c>
      <c r="L3" s="424">
        <f>'D1.x'!Q12</f>
        <v>35</v>
      </c>
      <c r="M3" s="172">
        <v>130</v>
      </c>
      <c r="N3" s="147">
        <f>IF(K3=0,L3,L3+1)</f>
        <v>35</v>
      </c>
      <c r="O3" s="89" t="s">
        <v>361</v>
      </c>
      <c r="P3" s="144" t="e">
        <f>ROUNDDOWN(AB3,0)</f>
        <v>#DIV/0!</v>
      </c>
      <c r="Q3" s="144" t="e">
        <f aca="true" t="shared" si="0" ref="Q3:Q45">60*(AB3-P3)</f>
        <v>#DIV/0!</v>
      </c>
      <c r="R3" s="124">
        <f>IF(UPPER('D1.x'!F12)="B",IF('D1.x'!D12='D1.x'!E12,'D1.x'!R12,'D1.x'!R12+'D1.x'!T12),'D1.x'!R12+'D1.x'!T12)</f>
        <v>0</v>
      </c>
      <c r="S3" s="161">
        <f>IF(K3=0,R3,R3+2)</f>
        <v>0</v>
      </c>
      <c r="T3" s="122">
        <f>'D1.x'!V12</f>
        <v>0</v>
      </c>
      <c r="U3" s="172">
        <v>500</v>
      </c>
      <c r="V3" s="147">
        <v>30</v>
      </c>
      <c r="W3" s="172">
        <v>125</v>
      </c>
      <c r="X3" s="344">
        <v>20</v>
      </c>
      <c r="Y3" s="344">
        <v>24</v>
      </c>
      <c r="Z3" s="272">
        <f>'D1.x'!U12</f>
        <v>0</v>
      </c>
      <c r="AA3" s="144">
        <f>'D1.x'!H12</f>
        <v>0</v>
      </c>
      <c r="AB3" s="273" t="e">
        <f>'D1.x'!$A$43/60+('D1.x'!$A$34/'D1.x'!P12)*(T3/M3)*(('D1.x'!$A$37+('D1.x'!K12/('D1.x'!$A$34-1)))/'D1.x'!$A$13)</f>
        <v>#DIV/0!</v>
      </c>
      <c r="AC3" s="274" t="e">
        <f>AD3/T3</f>
        <v>#DIV/0!</v>
      </c>
      <c r="AD3" s="280">
        <f aca="true" t="shared" si="1" ref="AD3:AD34">T3*$AD$1</f>
        <v>0</v>
      </c>
      <c r="AE3" s="422">
        <v>0</v>
      </c>
      <c r="AF3"/>
      <c r="AG3"/>
      <c r="AH3"/>
      <c r="AI3"/>
      <c r="AJ3"/>
      <c r="AK3"/>
    </row>
    <row r="4" spans="1:31" ht="12.75">
      <c r="A4" s="141">
        <f aca="true" t="shared" si="2" ref="A4:A34">B4*25.4</f>
        <v>22.224999999999998</v>
      </c>
      <c r="B4" s="125">
        <f>'D1.x'!E13</f>
        <v>0.875</v>
      </c>
      <c r="C4" s="99">
        <f>'D1.x'!I13</f>
        <v>0.75</v>
      </c>
      <c r="D4" s="148">
        <f>'D1.x'!P13</f>
        <v>0</v>
      </c>
      <c r="E4" s="122">
        <f>'D1.x'!G13</f>
        <v>1</v>
      </c>
      <c r="F4" s="22">
        <f>'D1.x'!L13</f>
        <v>21.24764150943396</v>
      </c>
      <c r="G4" s="22">
        <f>'D1.x'!M13</f>
        <v>39.45990566037736</v>
      </c>
      <c r="H4" s="114">
        <f>'D1.x'!N13</f>
        <v>0</v>
      </c>
      <c r="I4" s="648">
        <v>1</v>
      </c>
      <c r="J4" s="648">
        <v>12</v>
      </c>
      <c r="K4" s="154">
        <f aca="true" t="shared" si="3" ref="K4:K45">IF(B4-C4&lt;0.51,0,B4-C4-0.32)</f>
        <v>0</v>
      </c>
      <c r="L4" s="424">
        <f>'D1.x'!Q13</f>
        <v>35</v>
      </c>
      <c r="M4" s="173">
        <v>135</v>
      </c>
      <c r="N4" s="147">
        <f>IF(K4=0,L4,L4+2)</f>
        <v>35</v>
      </c>
      <c r="O4" s="89" t="str">
        <f>O3</f>
        <v>0:20</v>
      </c>
      <c r="P4" s="144" t="e">
        <f aca="true" t="shared" si="4" ref="P4:P34">ROUNDDOWN(AB4,0)</f>
        <v>#DIV/0!</v>
      </c>
      <c r="Q4" s="144" t="e">
        <f t="shared" si="0"/>
        <v>#DIV/0!</v>
      </c>
      <c r="R4" s="124">
        <f>IF(UPPER('D1.x'!F13)="B",IF('D1.x'!D13='D1.x'!E13,'D1.x'!R13,'D1.x'!R13+'D1.x'!T13),'D1.x'!R13+'D1.x'!T13)</f>
        <v>0</v>
      </c>
      <c r="S4" s="161">
        <f aca="true" t="shared" si="5" ref="S4:S34">IF(K4=0,R4,R4+2)</f>
        <v>0</v>
      </c>
      <c r="T4" s="122">
        <f>'D1.x'!V13</f>
        <v>0</v>
      </c>
      <c r="U4" s="174">
        <f>$U$3+2*(T4-$T$3)</f>
        <v>500</v>
      </c>
      <c r="V4" s="147">
        <v>30</v>
      </c>
      <c r="W4" s="172">
        <v>125</v>
      </c>
      <c r="X4" s="345">
        <f>X3</f>
        <v>20</v>
      </c>
      <c r="Y4" s="345">
        <f>Y3</f>
        <v>24</v>
      </c>
      <c r="Z4" s="272">
        <f>'D1.x'!U13</f>
        <v>0</v>
      </c>
      <c r="AA4" s="144">
        <f>'D1.x'!H13</f>
        <v>0</v>
      </c>
      <c r="AB4" s="273" t="e">
        <f>'D1.x'!$A$43/60+('D1.x'!$A$34/'D1.x'!P13)*(T4/M4)*(('D1.x'!$A$37+('D1.x'!K13/('D1.x'!$A$34-1)))/'D1.x'!$A$13)</f>
        <v>#DIV/0!</v>
      </c>
      <c r="AC4" s="275" t="e">
        <f aca="true" t="shared" si="6" ref="AC4:AC18">M4/T4</f>
        <v>#DIV/0!</v>
      </c>
      <c r="AD4" s="245">
        <f t="shared" si="1"/>
        <v>0</v>
      </c>
      <c r="AE4" s="422">
        <v>0</v>
      </c>
    </row>
    <row r="5" spans="1:31" ht="12.75">
      <c r="A5" s="141">
        <f t="shared" si="2"/>
        <v>25.4</v>
      </c>
      <c r="B5" s="125">
        <f>'D1.x'!E14</f>
        <v>1</v>
      </c>
      <c r="C5" s="99">
        <f>'D1.x'!I14</f>
        <v>0.75</v>
      </c>
      <c r="D5" s="148">
        <f>'D1.x'!P14</f>
        <v>0</v>
      </c>
      <c r="E5" s="122">
        <f>'D1.x'!G14</f>
        <v>1</v>
      </c>
      <c r="F5" s="22">
        <f>'D1.x'!L14</f>
        <v>23.608490566037734</v>
      </c>
      <c r="G5" s="22">
        <f>'D1.x'!M14</f>
        <v>43.84433962264151</v>
      </c>
      <c r="H5" s="114">
        <f>'D1.x'!N14</f>
        <v>0</v>
      </c>
      <c r="I5" s="648">
        <v>1</v>
      </c>
      <c r="J5" s="648">
        <v>12</v>
      </c>
      <c r="K5" s="154">
        <f t="shared" si="3"/>
        <v>0</v>
      </c>
      <c r="L5" s="424">
        <f>'D1.x'!Q14</f>
        <v>35</v>
      </c>
      <c r="M5" s="173">
        <v>140</v>
      </c>
      <c r="N5" s="147">
        <f>IF(K5=0,L5,L5+2)</f>
        <v>35</v>
      </c>
      <c r="O5" s="89" t="str">
        <f aca="true" t="shared" si="7" ref="O5:O34">O4</f>
        <v>0:20</v>
      </c>
      <c r="P5" s="144" t="e">
        <f t="shared" si="4"/>
        <v>#DIV/0!</v>
      </c>
      <c r="Q5" s="144" t="e">
        <f t="shared" si="0"/>
        <v>#DIV/0!</v>
      </c>
      <c r="R5" s="124">
        <f>IF(UPPER('D1.x'!F14)="B",IF('D1.x'!D14='D1.x'!E14,'D1.x'!R14,'D1.x'!R14+'D1.x'!T14),'D1.x'!R14+'D1.x'!T14)</f>
        <v>0</v>
      </c>
      <c r="S5" s="161">
        <f t="shared" si="5"/>
        <v>0</v>
      </c>
      <c r="T5" s="122">
        <f>'D1.x'!V14</f>
        <v>0</v>
      </c>
      <c r="U5" s="174">
        <f>$U$3+2*(T5-$T$3)</f>
        <v>500</v>
      </c>
      <c r="V5" s="147">
        <v>30</v>
      </c>
      <c r="W5" s="172">
        <v>125</v>
      </c>
      <c r="X5" s="345">
        <f aca="true" t="shared" si="8" ref="X5:X45">X4</f>
        <v>20</v>
      </c>
      <c r="Y5" s="345">
        <f aca="true" t="shared" si="9" ref="Y5:Y45">Y4</f>
        <v>24</v>
      </c>
      <c r="Z5" s="272">
        <f>'D1.x'!U14</f>
        <v>0</v>
      </c>
      <c r="AA5" s="144">
        <f>'D1.x'!H14</f>
        <v>0</v>
      </c>
      <c r="AB5" s="273" t="e">
        <f>'D1.x'!$A$43/60+('D1.x'!$A$34/'D1.x'!P14)*(T5/M5)*(('D1.x'!$A$37+('D1.x'!K14/('D1.x'!$A$34-1)))/'D1.x'!$A$13)</f>
        <v>#DIV/0!</v>
      </c>
      <c r="AC5" s="275" t="e">
        <f t="shared" si="6"/>
        <v>#DIV/0!</v>
      </c>
      <c r="AD5" s="245">
        <f t="shared" si="1"/>
        <v>0</v>
      </c>
      <c r="AE5" s="422">
        <v>0</v>
      </c>
    </row>
    <row r="6" spans="1:31" ht="12.75">
      <c r="A6" s="141">
        <f t="shared" si="2"/>
        <v>28.575</v>
      </c>
      <c r="B6" s="125">
        <f>'D1.x'!E15</f>
        <v>1.125</v>
      </c>
      <c r="C6" s="99">
        <f>'D1.x'!I15</f>
        <v>0.625</v>
      </c>
      <c r="D6" s="148">
        <f>'D1.x'!P15</f>
        <v>0</v>
      </c>
      <c r="E6" s="122">
        <f>'D1.x'!G15</f>
        <v>1</v>
      </c>
      <c r="F6" s="22">
        <f>'D1.x'!L15</f>
        <v>25.969339622641506</v>
      </c>
      <c r="G6" s="22">
        <f>'D1.x'!M15</f>
        <v>48.22877358490566</v>
      </c>
      <c r="H6" s="114">
        <f>'D1.x'!N15</f>
        <v>0</v>
      </c>
      <c r="I6" s="648">
        <v>1</v>
      </c>
      <c r="J6" s="648">
        <v>12</v>
      </c>
      <c r="K6" s="154">
        <f t="shared" si="3"/>
        <v>0</v>
      </c>
      <c r="L6" s="424">
        <f>'D1.x'!Q15</f>
        <v>35</v>
      </c>
      <c r="M6" s="173">
        <v>140</v>
      </c>
      <c r="N6" s="147">
        <f aca="true" t="shared" si="10" ref="N6:N29">IF(K6=0,L6,L6+1)</f>
        <v>35</v>
      </c>
      <c r="O6" s="89" t="str">
        <f t="shared" si="7"/>
        <v>0:20</v>
      </c>
      <c r="P6" s="144" t="e">
        <f t="shared" si="4"/>
        <v>#DIV/0!</v>
      </c>
      <c r="Q6" s="144" t="e">
        <f t="shared" si="0"/>
        <v>#DIV/0!</v>
      </c>
      <c r="R6" s="124">
        <f>IF(UPPER('D1.x'!F15)="B",IF('D1.x'!D15='D1.x'!E15,'D1.x'!R15,'D1.x'!R15+'D1.x'!T15),'D1.x'!R15+'D1.x'!T15)</f>
        <v>0</v>
      </c>
      <c r="S6" s="161">
        <f t="shared" si="5"/>
        <v>0</v>
      </c>
      <c r="T6" s="122">
        <f>'D1.x'!V15</f>
        <v>0</v>
      </c>
      <c r="U6" s="174">
        <f>$U$3+2*(T6-$T$3)</f>
        <v>500</v>
      </c>
      <c r="V6" s="147">
        <v>30</v>
      </c>
      <c r="W6" s="172">
        <v>125</v>
      </c>
      <c r="X6" s="345">
        <f t="shared" si="8"/>
        <v>20</v>
      </c>
      <c r="Y6" s="345">
        <f t="shared" si="9"/>
        <v>24</v>
      </c>
      <c r="Z6" s="272">
        <f>'D1.x'!U15</f>
        <v>0</v>
      </c>
      <c r="AA6" s="144">
        <f>'D1.x'!H15</f>
        <v>0</v>
      </c>
      <c r="AB6" s="273" t="e">
        <f>'D1.x'!$A$43/60+('D1.x'!$A$34/'D1.x'!P15)*(T6/M6)*(('D1.x'!$A$37+('D1.x'!K15/('D1.x'!$A$34-1)))/'D1.x'!$A$13)</f>
        <v>#DIV/0!</v>
      </c>
      <c r="AC6" s="275" t="e">
        <f t="shared" si="6"/>
        <v>#DIV/0!</v>
      </c>
      <c r="AD6" s="245">
        <f t="shared" si="1"/>
        <v>0</v>
      </c>
      <c r="AE6" s="422">
        <v>0</v>
      </c>
    </row>
    <row r="7" spans="1:31" ht="12.75">
      <c r="A7" s="141">
        <f t="shared" si="2"/>
        <v>31.75</v>
      </c>
      <c r="B7" s="125">
        <f>'D1.x'!E16</f>
        <v>1.25</v>
      </c>
      <c r="C7" s="99">
        <f>'D1.x'!I16</f>
        <v>0.75</v>
      </c>
      <c r="D7" s="148">
        <f>'D1.x'!P16</f>
        <v>1.1</v>
      </c>
      <c r="E7" s="122">
        <f>'D1.x'!G16</f>
        <v>1</v>
      </c>
      <c r="F7" s="22">
        <f>'D1.x'!L16</f>
        <v>28.330188679245285</v>
      </c>
      <c r="G7" s="22">
        <f>'D1.x'!M16</f>
        <v>52.61320754716982</v>
      </c>
      <c r="H7" s="114">
        <f>'D1.x'!N16</f>
        <v>6.6000000000000005</v>
      </c>
      <c r="I7" s="648">
        <v>1</v>
      </c>
      <c r="J7" s="648">
        <v>12</v>
      </c>
      <c r="K7" s="154">
        <f t="shared" si="3"/>
        <v>0</v>
      </c>
      <c r="L7" s="424">
        <f>'D1.x'!Q16</f>
        <v>38</v>
      </c>
      <c r="M7" s="173">
        <f>IF(AD7&lt;150,IF(AD7&lt;110,110,AD7),150)</f>
        <v>146.505121351875</v>
      </c>
      <c r="N7" s="147">
        <f t="shared" si="10"/>
        <v>38</v>
      </c>
      <c r="O7" s="89" t="str">
        <f t="shared" si="7"/>
        <v>0:20</v>
      </c>
      <c r="P7" s="144">
        <f t="shared" si="4"/>
        <v>2</v>
      </c>
      <c r="Q7" s="144">
        <f t="shared" si="0"/>
        <v>38.009999999999984</v>
      </c>
      <c r="R7" s="124">
        <f>IF(UPPER('D1.x'!F16)="B",IF('D1.x'!D16='D1.x'!E16,'D1.x'!R16,'D1.x'!R16+'D1.x'!T16),'D1.x'!R16+'D1.x'!T16)</f>
        <v>37</v>
      </c>
      <c r="S7" s="161">
        <f t="shared" si="5"/>
        <v>37</v>
      </c>
      <c r="T7" s="122">
        <f>'D1.x'!V16</f>
        <v>195.3401618025</v>
      </c>
      <c r="U7" s="174">
        <f>$U$3+2*(T7-$T$3)</f>
        <v>890.680323605</v>
      </c>
      <c r="V7" s="147">
        <v>30</v>
      </c>
      <c r="W7" s="172">
        <v>125</v>
      </c>
      <c r="X7" s="345">
        <f t="shared" si="8"/>
        <v>20</v>
      </c>
      <c r="Y7" s="345">
        <f t="shared" si="9"/>
        <v>24</v>
      </c>
      <c r="Z7" s="272">
        <f>'D1.x'!U16</f>
        <v>0</v>
      </c>
      <c r="AA7" s="144">
        <f>'D1.x'!H16</f>
        <v>0</v>
      </c>
      <c r="AB7" s="273">
        <f>'D1.x'!$A$43/60+('D1.x'!$A$34/'D1.x'!P16)*(T7/M7)*(('D1.x'!$A$37+('D1.x'!K16/('D1.x'!$A$34-1)))/'D1.x'!$A$13)</f>
        <v>2.6334999999999997</v>
      </c>
      <c r="AC7" s="275">
        <f t="shared" si="6"/>
        <v>0.75</v>
      </c>
      <c r="AD7" s="245">
        <f t="shared" si="1"/>
        <v>146.505121351875</v>
      </c>
      <c r="AE7" s="422">
        <v>0</v>
      </c>
    </row>
    <row r="8" spans="1:31" ht="12.75">
      <c r="A8" s="141">
        <f t="shared" si="2"/>
        <v>34.925</v>
      </c>
      <c r="B8" s="125">
        <f>'D1.x'!E17</f>
        <v>1.375</v>
      </c>
      <c r="C8" s="99">
        <f>'D1.x'!I17</f>
        <v>1</v>
      </c>
      <c r="D8" s="148">
        <f>'D1.x'!P17</f>
        <v>0</v>
      </c>
      <c r="E8" s="122">
        <f>'D1.x'!G17</f>
        <v>1</v>
      </c>
      <c r="F8" s="22">
        <f>'D1.x'!L17</f>
        <v>30.691037735849058</v>
      </c>
      <c r="G8" s="22">
        <f>'D1.x'!M17</f>
        <v>56.99764150943397</v>
      </c>
      <c r="H8" s="114">
        <f>'D1.x'!N17</f>
        <v>0</v>
      </c>
      <c r="I8" s="648">
        <v>1</v>
      </c>
      <c r="J8" s="648">
        <v>12</v>
      </c>
      <c r="K8" s="154">
        <f t="shared" si="3"/>
        <v>0</v>
      </c>
      <c r="L8" s="424">
        <f>'D1.x'!Q17</f>
        <v>35</v>
      </c>
      <c r="M8" s="173">
        <f>IF(AD8&lt;150,IF(AD8&lt;110,110,AD8),150)</f>
        <v>110</v>
      </c>
      <c r="N8" s="147">
        <f t="shared" si="10"/>
        <v>35</v>
      </c>
      <c r="O8" s="89" t="str">
        <f t="shared" si="7"/>
        <v>0:20</v>
      </c>
      <c r="P8" s="144" t="e">
        <f t="shared" si="4"/>
        <v>#DIV/0!</v>
      </c>
      <c r="Q8" s="144" t="e">
        <f t="shared" si="0"/>
        <v>#DIV/0!</v>
      </c>
      <c r="R8" s="124">
        <f>IF(UPPER('D1.x'!F17)="B",IF('D1.x'!D17='D1.x'!E17,'D1.x'!R17,'D1.x'!R17+'D1.x'!T17),'D1.x'!R17+'D1.x'!T17)</f>
        <v>0</v>
      </c>
      <c r="S8" s="161">
        <f t="shared" si="5"/>
        <v>0</v>
      </c>
      <c r="T8" s="122">
        <f>'D1.x'!V17</f>
        <v>0</v>
      </c>
      <c r="U8" s="174">
        <v>770</v>
      </c>
      <c r="V8" s="147">
        <v>30</v>
      </c>
      <c r="W8" s="172">
        <v>125</v>
      </c>
      <c r="X8" s="345">
        <f t="shared" si="8"/>
        <v>20</v>
      </c>
      <c r="Y8" s="345">
        <f t="shared" si="9"/>
        <v>24</v>
      </c>
      <c r="Z8" s="272">
        <f>'D1.x'!U17</f>
        <v>0</v>
      </c>
      <c r="AA8" s="144">
        <f>'D1.x'!H17</f>
        <v>0</v>
      </c>
      <c r="AB8" s="273" t="e">
        <f>'D1.x'!$A$43/60+('D1.x'!$A$34/'D1.x'!P17)*(T8/M8)*(('D1.x'!$A$37+('D1.x'!K17/('D1.x'!$A$34-1)))/'D1.x'!$A$13)</f>
        <v>#DIV/0!</v>
      </c>
      <c r="AC8" s="275" t="e">
        <f t="shared" si="6"/>
        <v>#DIV/0!</v>
      </c>
      <c r="AD8" s="245">
        <f t="shared" si="1"/>
        <v>0</v>
      </c>
      <c r="AE8" s="422">
        <v>0</v>
      </c>
    </row>
    <row r="9" spans="1:31" ht="12.75">
      <c r="A9" s="141">
        <f t="shared" si="2"/>
        <v>38.099999999999994</v>
      </c>
      <c r="B9" s="125">
        <f>'D1.x'!E18</f>
        <v>1.5</v>
      </c>
      <c r="C9" s="99">
        <f>'D1.x'!I18</f>
        <v>1.25</v>
      </c>
      <c r="D9" s="148">
        <f>'D1.x'!P18</f>
        <v>0</v>
      </c>
      <c r="E9" s="122">
        <f>'D1.x'!G18</f>
        <v>2</v>
      </c>
      <c r="F9" s="22">
        <f>'D1.x'!L18</f>
        <v>33.051886792452834</v>
      </c>
      <c r="G9" s="22">
        <f>'D1.x'!M18</f>
        <v>61.382075471698116</v>
      </c>
      <c r="H9" s="114">
        <f>'D1.x'!N18</f>
        <v>0</v>
      </c>
      <c r="I9" s="648">
        <v>1</v>
      </c>
      <c r="J9" s="648">
        <v>12</v>
      </c>
      <c r="K9" s="154">
        <f t="shared" si="3"/>
        <v>0</v>
      </c>
      <c r="L9" s="424">
        <f>'D1.x'!Q18</f>
        <v>35</v>
      </c>
      <c r="M9" s="173">
        <v>125</v>
      </c>
      <c r="N9" s="147">
        <f t="shared" si="10"/>
        <v>35</v>
      </c>
      <c r="O9" s="89" t="str">
        <f t="shared" si="7"/>
        <v>0:20</v>
      </c>
      <c r="P9" s="144" t="e">
        <f t="shared" si="4"/>
        <v>#DIV/0!</v>
      </c>
      <c r="Q9" s="144" t="e">
        <f t="shared" si="0"/>
        <v>#DIV/0!</v>
      </c>
      <c r="R9" s="124">
        <f>IF(UPPER('D1.x'!F18)="B",IF('D1.x'!D18='D1.x'!E18,'D1.x'!R18,'D1.x'!R18+'D1.x'!T18),'D1.x'!R18+'D1.x'!T18)</f>
        <v>0</v>
      </c>
      <c r="S9" s="166">
        <f t="shared" si="5"/>
        <v>0</v>
      </c>
      <c r="T9" s="122">
        <f>'D1.x'!V18</f>
        <v>0</v>
      </c>
      <c r="U9" s="173">
        <v>780</v>
      </c>
      <c r="V9" s="147">
        <v>30</v>
      </c>
      <c r="W9" s="172">
        <v>125</v>
      </c>
      <c r="X9" s="345">
        <f t="shared" si="8"/>
        <v>20</v>
      </c>
      <c r="Y9" s="345">
        <f t="shared" si="9"/>
        <v>24</v>
      </c>
      <c r="Z9" s="272">
        <f>'D1.x'!U18</f>
        <v>0</v>
      </c>
      <c r="AA9" s="144">
        <f>'D1.x'!H18</f>
        <v>0</v>
      </c>
      <c r="AB9" s="273" t="e">
        <f>'D1.x'!$A$43/60+('D1.x'!$A$34/'D1.x'!P18)*(T9/M9)*(('D1.x'!$A$37+('D1.x'!K18/('D1.x'!$A$34-1)))/'D1.x'!$A$13)</f>
        <v>#DIV/0!</v>
      </c>
      <c r="AC9" s="275" t="e">
        <f t="shared" si="6"/>
        <v>#DIV/0!</v>
      </c>
      <c r="AD9" s="245">
        <f t="shared" si="1"/>
        <v>0</v>
      </c>
      <c r="AE9" s="422">
        <v>0</v>
      </c>
    </row>
    <row r="10" spans="1:31" ht="12.75">
      <c r="A10" s="141">
        <f t="shared" si="2"/>
        <v>41.275</v>
      </c>
      <c r="B10" s="125">
        <f>'D1.x'!E19</f>
        <v>1.625</v>
      </c>
      <c r="C10" s="99">
        <f>'D1.x'!I19</f>
        <v>1.25</v>
      </c>
      <c r="D10" s="148">
        <f>'D1.x'!P19</f>
        <v>0</v>
      </c>
      <c r="E10" s="122">
        <f>'D1.x'!G19</f>
        <v>2</v>
      </c>
      <c r="F10" s="22">
        <f>'D1.x'!L19</f>
        <v>35.4127358490566</v>
      </c>
      <c r="G10" s="22">
        <f>'D1.x'!M19</f>
        <v>65.76650943396227</v>
      </c>
      <c r="H10" s="114">
        <f>'D1.x'!N19</f>
        <v>0</v>
      </c>
      <c r="I10" s="648">
        <v>1</v>
      </c>
      <c r="J10" s="648">
        <v>12</v>
      </c>
      <c r="K10" s="154">
        <f t="shared" si="3"/>
        <v>0</v>
      </c>
      <c r="L10" s="424">
        <f>'D1.x'!Q19</f>
        <v>35</v>
      </c>
      <c r="M10" s="173">
        <v>130</v>
      </c>
      <c r="N10" s="147">
        <f t="shared" si="10"/>
        <v>35</v>
      </c>
      <c r="O10" s="89" t="str">
        <f t="shared" si="7"/>
        <v>0:20</v>
      </c>
      <c r="P10" s="144" t="e">
        <f t="shared" si="4"/>
        <v>#DIV/0!</v>
      </c>
      <c r="Q10" s="144" t="e">
        <f t="shared" si="0"/>
        <v>#DIV/0!</v>
      </c>
      <c r="R10" s="124">
        <f>IF(UPPER('D1.x'!F19)="B",IF('D1.x'!D19='D1.x'!E19,'D1.x'!R19,'D1.x'!R19+'D1.x'!T19),'D1.x'!R19+'D1.x'!T19)</f>
        <v>0</v>
      </c>
      <c r="S10" s="161">
        <f t="shared" si="5"/>
        <v>0</v>
      </c>
      <c r="T10" s="122">
        <f>'D1.x'!V19</f>
        <v>0</v>
      </c>
      <c r="U10" s="174">
        <f>$U$9+2*(T10-$T$9)</f>
        <v>780</v>
      </c>
      <c r="V10" s="147">
        <v>30</v>
      </c>
      <c r="W10" s="172">
        <v>125</v>
      </c>
      <c r="X10" s="345">
        <f t="shared" si="8"/>
        <v>20</v>
      </c>
      <c r="Y10" s="345">
        <f t="shared" si="9"/>
        <v>24</v>
      </c>
      <c r="Z10" s="272">
        <f>'D1.x'!U19</f>
        <v>0</v>
      </c>
      <c r="AA10" s="144">
        <f>'D1.x'!H19</f>
        <v>0</v>
      </c>
      <c r="AB10" s="273" t="e">
        <f>'D1.x'!$A$43/60+('D1.x'!$A$34/'D1.x'!P19)*(T10/M10)*(('D1.x'!$A$37+('D1.x'!K19/('D1.x'!$A$34-1)))/'D1.x'!$A$13)</f>
        <v>#DIV/0!</v>
      </c>
      <c r="AC10" s="275" t="e">
        <f t="shared" si="6"/>
        <v>#DIV/0!</v>
      </c>
      <c r="AD10" s="245">
        <f t="shared" si="1"/>
        <v>0</v>
      </c>
      <c r="AE10" s="422">
        <v>0</v>
      </c>
    </row>
    <row r="11" spans="1:37" s="86" customFormat="1" ht="12.75">
      <c r="A11" s="262">
        <f t="shared" si="2"/>
        <v>44.449999999999996</v>
      </c>
      <c r="B11" s="125">
        <f>'D1.x'!E20</f>
        <v>1.75</v>
      </c>
      <c r="C11" s="123">
        <f>'D1.x'!I20</f>
        <v>1.5</v>
      </c>
      <c r="D11" s="148">
        <f>'D1.x'!P20</f>
        <v>0</v>
      </c>
      <c r="E11" s="122">
        <f>'D1.x'!G20</f>
        <v>2</v>
      </c>
      <c r="F11" s="122">
        <f>'D1.x'!L20</f>
        <v>37.77358490566038</v>
      </c>
      <c r="G11" s="122">
        <f>'D1.x'!M20</f>
        <v>70.15094339622642</v>
      </c>
      <c r="H11" s="124">
        <f>'D1.x'!N20</f>
        <v>0</v>
      </c>
      <c r="I11" s="648">
        <v>1</v>
      </c>
      <c r="J11" s="648">
        <v>12</v>
      </c>
      <c r="K11" s="154">
        <f t="shared" si="3"/>
        <v>0</v>
      </c>
      <c r="L11" s="424">
        <f>'D1.x'!Q20</f>
        <v>35</v>
      </c>
      <c r="M11" s="172">
        <v>130</v>
      </c>
      <c r="N11" s="147">
        <f t="shared" si="10"/>
        <v>35</v>
      </c>
      <c r="O11" s="89" t="str">
        <f t="shared" si="7"/>
        <v>0:20</v>
      </c>
      <c r="P11" s="144" t="e">
        <f t="shared" si="4"/>
        <v>#DIV/0!</v>
      </c>
      <c r="Q11" s="144" t="e">
        <f t="shared" si="0"/>
        <v>#DIV/0!</v>
      </c>
      <c r="R11" s="124">
        <f>IF(UPPER('D1.x'!F20)="B",IF('D1.x'!D20='D1.x'!E20,'D1.x'!R20,'D1.x'!R20+'D1.x'!T20),'D1.x'!R20+'D1.x'!T20)</f>
        <v>0</v>
      </c>
      <c r="S11" s="161">
        <f t="shared" si="5"/>
        <v>0</v>
      </c>
      <c r="T11" s="122">
        <f>'D1.x'!V20</f>
        <v>0</v>
      </c>
      <c r="U11" s="172">
        <v>900</v>
      </c>
      <c r="V11" s="147">
        <v>30</v>
      </c>
      <c r="W11" s="172">
        <v>125</v>
      </c>
      <c r="X11" s="345">
        <f t="shared" si="8"/>
        <v>20</v>
      </c>
      <c r="Y11" s="345">
        <f t="shared" si="9"/>
        <v>24</v>
      </c>
      <c r="Z11" s="272">
        <f>'D1.x'!U20</f>
        <v>0</v>
      </c>
      <c r="AA11" s="144">
        <f>'D1.x'!H20</f>
        <v>0</v>
      </c>
      <c r="AB11" s="273" t="e">
        <f>'D1.x'!$A$43/60+('D1.x'!$A$34/'D1.x'!P20)*(T11/M11)*(('D1.x'!$A$37+('D1.x'!K20/('D1.x'!$A$34-1)))/'D1.x'!$A$13)</f>
        <v>#DIV/0!</v>
      </c>
      <c r="AC11" s="274" t="e">
        <f t="shared" si="6"/>
        <v>#DIV/0!</v>
      </c>
      <c r="AD11" s="280">
        <f t="shared" si="1"/>
        <v>0</v>
      </c>
      <c r="AE11" s="422">
        <v>0</v>
      </c>
      <c r="AF11"/>
      <c r="AG11"/>
      <c r="AH11"/>
      <c r="AI11"/>
      <c r="AJ11"/>
      <c r="AK11"/>
    </row>
    <row r="12" spans="1:31" ht="12.75">
      <c r="A12" s="141">
        <f t="shared" si="2"/>
        <v>47.625</v>
      </c>
      <c r="B12" s="125">
        <f>'D1.x'!E21</f>
        <v>1.875</v>
      </c>
      <c r="C12" s="99">
        <f>'D1.x'!I21</f>
        <v>1.5</v>
      </c>
      <c r="D12" s="148">
        <f>'D1.x'!P21</f>
        <v>0</v>
      </c>
      <c r="E12" s="122">
        <f>'D1.x'!G21</f>
        <v>2</v>
      </c>
      <c r="F12" s="22">
        <f>'D1.x'!L21</f>
        <v>40.13443396226415</v>
      </c>
      <c r="G12" s="22">
        <f>'D1.x'!M21</f>
        <v>74.53537735849056</v>
      </c>
      <c r="H12" s="114">
        <f>'D1.x'!N21</f>
        <v>0</v>
      </c>
      <c r="I12" s="648">
        <v>1</v>
      </c>
      <c r="J12" s="648">
        <v>12</v>
      </c>
      <c r="K12" s="154">
        <f t="shared" si="3"/>
        <v>0</v>
      </c>
      <c r="L12" s="424">
        <f>'D1.x'!Q21</f>
        <v>35</v>
      </c>
      <c r="M12" s="173">
        <v>135</v>
      </c>
      <c r="N12" s="147">
        <f t="shared" si="10"/>
        <v>35</v>
      </c>
      <c r="O12" s="89" t="str">
        <f t="shared" si="7"/>
        <v>0:20</v>
      </c>
      <c r="P12" s="144" t="e">
        <f t="shared" si="4"/>
        <v>#DIV/0!</v>
      </c>
      <c r="Q12" s="144" t="e">
        <f t="shared" si="0"/>
        <v>#DIV/0!</v>
      </c>
      <c r="R12" s="124">
        <f>IF(UPPER('D1.x'!F21)="B",IF('D1.x'!D21='D1.x'!E21,'D1.x'!R21,'D1.x'!R21+'D1.x'!T21),'D1.x'!R21+'D1.x'!T21)</f>
        <v>0</v>
      </c>
      <c r="S12" s="161">
        <f t="shared" si="5"/>
        <v>0</v>
      </c>
      <c r="T12" s="122">
        <f>'D1.x'!V21</f>
        <v>0</v>
      </c>
      <c r="U12" s="174">
        <f>$U$11+2.5*(T12-$T$11)</f>
        <v>900</v>
      </c>
      <c r="V12" s="147">
        <v>30</v>
      </c>
      <c r="W12" s="172">
        <v>125</v>
      </c>
      <c r="X12" s="345">
        <f t="shared" si="8"/>
        <v>20</v>
      </c>
      <c r="Y12" s="345">
        <f t="shared" si="9"/>
        <v>24</v>
      </c>
      <c r="Z12" s="272">
        <f>'D1.x'!U21</f>
        <v>0</v>
      </c>
      <c r="AA12" s="144">
        <f>'D1.x'!H21</f>
        <v>0</v>
      </c>
      <c r="AB12" s="273" t="e">
        <f>'D1.x'!$A$43/60+('D1.x'!$A$34/'D1.x'!P21)*(T12/M12)*(('D1.x'!$A$37+('D1.x'!K21/('D1.x'!$A$34-1)))/'D1.x'!$A$13)</f>
        <v>#DIV/0!</v>
      </c>
      <c r="AC12" s="275" t="e">
        <f t="shared" si="6"/>
        <v>#DIV/0!</v>
      </c>
      <c r="AD12" s="245">
        <f t="shared" si="1"/>
        <v>0</v>
      </c>
      <c r="AE12" s="422">
        <v>0</v>
      </c>
    </row>
    <row r="13" spans="1:31" ht="12.75">
      <c r="A13" s="141">
        <f t="shared" si="2"/>
        <v>50.8</v>
      </c>
      <c r="B13" s="125">
        <f>'D1.x'!E22</f>
        <v>2</v>
      </c>
      <c r="C13" s="99">
        <f>'D1.x'!I22</f>
        <v>1.5</v>
      </c>
      <c r="D13" s="148">
        <f>'D1.x'!P22</f>
        <v>0</v>
      </c>
      <c r="E13" s="122">
        <f>'D1.x'!G22</f>
        <v>2</v>
      </c>
      <c r="F13" s="22">
        <f>'D1.x'!L22</f>
        <v>42.49528301886792</v>
      </c>
      <c r="G13" s="22">
        <f>'D1.x'!M22</f>
        <v>78.91981132075472</v>
      </c>
      <c r="H13" s="114">
        <f>'D1.x'!N22</f>
        <v>0</v>
      </c>
      <c r="I13" s="648">
        <v>1</v>
      </c>
      <c r="J13" s="648">
        <v>12</v>
      </c>
      <c r="K13" s="154">
        <f t="shared" si="3"/>
        <v>0</v>
      </c>
      <c r="L13" s="424">
        <f>'D1.x'!Q22</f>
        <v>35</v>
      </c>
      <c r="M13" s="173">
        <v>135</v>
      </c>
      <c r="N13" s="147">
        <f t="shared" si="10"/>
        <v>35</v>
      </c>
      <c r="O13" s="89" t="str">
        <f t="shared" si="7"/>
        <v>0:20</v>
      </c>
      <c r="P13" s="144" t="e">
        <f t="shared" si="4"/>
        <v>#DIV/0!</v>
      </c>
      <c r="Q13" s="144" t="e">
        <f t="shared" si="0"/>
        <v>#DIV/0!</v>
      </c>
      <c r="R13" s="124">
        <f>IF(UPPER('D1.x'!F22)="B",IF('D1.x'!D22='D1.x'!E22,'D1.x'!R22,'D1.x'!R22+'D1.x'!T22),'D1.x'!R22+'D1.x'!T22)</f>
        <v>0</v>
      </c>
      <c r="S13" s="161">
        <f t="shared" si="5"/>
        <v>0</v>
      </c>
      <c r="T13" s="122">
        <f>'D1.x'!V22</f>
        <v>0</v>
      </c>
      <c r="U13" s="174">
        <f>$U$11+2.5*(T13-$T$11)</f>
        <v>900</v>
      </c>
      <c r="V13" s="147">
        <v>30</v>
      </c>
      <c r="W13" s="172">
        <v>125</v>
      </c>
      <c r="X13" s="345">
        <f t="shared" si="8"/>
        <v>20</v>
      </c>
      <c r="Y13" s="345">
        <f t="shared" si="9"/>
        <v>24</v>
      </c>
      <c r="Z13" s="272">
        <f>'D1.x'!U22</f>
        <v>0</v>
      </c>
      <c r="AA13" s="144">
        <f>'D1.x'!H22</f>
        <v>0</v>
      </c>
      <c r="AB13" s="273" t="e">
        <f>'D1.x'!$A$43/60+('D1.x'!$A$34/'D1.x'!P22)*(T13/M13)*(('D1.x'!$A$37+('D1.x'!K22/('D1.x'!$A$34-1)))/'D1.x'!$A$13)</f>
        <v>#DIV/0!</v>
      </c>
      <c r="AC13" s="275" t="e">
        <f t="shared" si="6"/>
        <v>#DIV/0!</v>
      </c>
      <c r="AD13" s="245">
        <f t="shared" si="1"/>
        <v>0</v>
      </c>
      <c r="AE13" s="422">
        <v>0</v>
      </c>
    </row>
    <row r="14" spans="1:31" ht="12.75">
      <c r="A14" s="141">
        <f t="shared" si="2"/>
        <v>50.8</v>
      </c>
      <c r="B14" s="125">
        <f>'D1.x'!E23</f>
        <v>2</v>
      </c>
      <c r="C14" s="99">
        <f>'D1.x'!I23</f>
        <v>1.5</v>
      </c>
      <c r="D14" s="148">
        <f>'D1.x'!P23</f>
        <v>0</v>
      </c>
      <c r="E14" s="122">
        <f>'D1.x'!G23</f>
        <v>2</v>
      </c>
      <c r="F14" s="22">
        <f>'D1.x'!L23</f>
        <v>44.85613207547169</v>
      </c>
      <c r="G14" s="22">
        <f>'D1.x'!M23</f>
        <v>83.30424528301887</v>
      </c>
      <c r="H14" s="114">
        <f>'D1.x'!N23</f>
        <v>0</v>
      </c>
      <c r="I14" s="648">
        <v>1</v>
      </c>
      <c r="J14" s="648">
        <v>12</v>
      </c>
      <c r="K14" s="154">
        <f t="shared" si="3"/>
        <v>0</v>
      </c>
      <c r="L14" s="424">
        <f>'D1.x'!Q23</f>
        <v>35</v>
      </c>
      <c r="M14" s="173">
        <v>135</v>
      </c>
      <c r="N14" s="147">
        <f t="shared" si="10"/>
        <v>35</v>
      </c>
      <c r="O14" s="89" t="str">
        <f t="shared" si="7"/>
        <v>0:20</v>
      </c>
      <c r="P14" s="144" t="e">
        <f t="shared" si="4"/>
        <v>#DIV/0!</v>
      </c>
      <c r="Q14" s="144" t="e">
        <f t="shared" si="0"/>
        <v>#DIV/0!</v>
      </c>
      <c r="R14" s="124">
        <f>IF(UPPER('D1.x'!F23)="B",IF('D1.x'!D23='D1.x'!E23,'D1.x'!R23,'D1.x'!R23+'D1.x'!T23),'D1.x'!R23+'D1.x'!T23)</f>
        <v>0</v>
      </c>
      <c r="S14" s="161">
        <f t="shared" si="5"/>
        <v>0</v>
      </c>
      <c r="T14" s="122">
        <f>'D1.x'!V23</f>
        <v>0</v>
      </c>
      <c r="U14" s="174">
        <f>$U$11+2.5*(T14-$T$11)</f>
        <v>900</v>
      </c>
      <c r="V14" s="147">
        <v>30</v>
      </c>
      <c r="W14" s="172">
        <v>125</v>
      </c>
      <c r="X14" s="345">
        <f t="shared" si="8"/>
        <v>20</v>
      </c>
      <c r="Y14" s="345">
        <f t="shared" si="9"/>
        <v>24</v>
      </c>
      <c r="Z14" s="272">
        <f>'D1.x'!U23</f>
        <v>0</v>
      </c>
      <c r="AA14" s="144">
        <f>'D1.x'!H23</f>
        <v>0</v>
      </c>
      <c r="AB14" s="273" t="e">
        <f>'D1.x'!$A$43/60+('D1.x'!$A$34/'D1.x'!P23)*(T14/M14)*(('D1.x'!$A$37+('D1.x'!K23/('D1.x'!$A$34-1)))/'D1.x'!$A$13)</f>
        <v>#DIV/0!</v>
      </c>
      <c r="AC14" s="275" t="e">
        <f t="shared" si="6"/>
        <v>#DIV/0!</v>
      </c>
      <c r="AD14" s="245">
        <f t="shared" si="1"/>
        <v>0</v>
      </c>
      <c r="AE14" s="422">
        <v>0</v>
      </c>
    </row>
    <row r="15" spans="1:37" ht="12.75">
      <c r="A15" s="141">
        <f t="shared" si="2"/>
        <v>57.15</v>
      </c>
      <c r="B15" s="125">
        <f>'D1.x'!E24</f>
        <v>2.25</v>
      </c>
      <c r="C15" s="99">
        <f>'D1.x'!I24</f>
        <v>1.5</v>
      </c>
      <c r="D15" s="148">
        <f>'D1.x'!P24</f>
        <v>0</v>
      </c>
      <c r="E15" s="122">
        <f>'D1.x'!G24</f>
        <v>2</v>
      </c>
      <c r="F15" s="22">
        <f>'D1.x'!L24</f>
        <v>47.21698113207547</v>
      </c>
      <c r="G15" s="22">
        <f>'D1.x'!M24</f>
        <v>87.68867924528303</v>
      </c>
      <c r="H15" s="114">
        <f>'D1.x'!N24</f>
        <v>0</v>
      </c>
      <c r="I15" s="648">
        <v>1</v>
      </c>
      <c r="J15" s="648">
        <v>12</v>
      </c>
      <c r="K15" s="154">
        <f t="shared" si="3"/>
        <v>0.43</v>
      </c>
      <c r="L15" s="424">
        <f>'D1.x'!Q24</f>
        <v>35</v>
      </c>
      <c r="M15" s="173">
        <v>135</v>
      </c>
      <c r="N15" s="147">
        <f t="shared" si="10"/>
        <v>36</v>
      </c>
      <c r="O15" s="89" t="str">
        <f t="shared" si="7"/>
        <v>0:20</v>
      </c>
      <c r="P15" s="144" t="e">
        <f t="shared" si="4"/>
        <v>#DIV/0!</v>
      </c>
      <c r="Q15" s="144" t="e">
        <f t="shared" si="0"/>
        <v>#DIV/0!</v>
      </c>
      <c r="R15" s="124">
        <f>IF(UPPER('D1.x'!F24)="B",IF('D1.x'!D24='D1.x'!E24,'D1.x'!R24,'D1.x'!R24+'D1.x'!T24),'D1.x'!R24+'D1.x'!T24)</f>
        <v>0</v>
      </c>
      <c r="S15" s="161">
        <f t="shared" si="5"/>
        <v>2</v>
      </c>
      <c r="T15" s="122">
        <f>'D1.x'!V24</f>
        <v>0</v>
      </c>
      <c r="U15" s="173">
        <v>1000</v>
      </c>
      <c r="V15" s="147">
        <v>30</v>
      </c>
      <c r="W15" s="172">
        <v>125</v>
      </c>
      <c r="X15" s="345">
        <f t="shared" si="8"/>
        <v>20</v>
      </c>
      <c r="Y15" s="345">
        <f t="shared" si="9"/>
        <v>24</v>
      </c>
      <c r="Z15" s="272">
        <f>'D1.x'!U24</f>
        <v>0</v>
      </c>
      <c r="AA15" s="144">
        <f>'D1.x'!H24</f>
        <v>0</v>
      </c>
      <c r="AB15" s="273" t="e">
        <f>'D1.x'!$A$43/60+('D1.x'!$A$34/'D1.x'!P24)*(T15/M15)*(('D1.x'!$A$37+('D1.x'!K24/('D1.x'!$A$34-1)))/'D1.x'!$A$13)</f>
        <v>#DIV/0!</v>
      </c>
      <c r="AC15" s="275" t="e">
        <f t="shared" si="6"/>
        <v>#DIV/0!</v>
      </c>
      <c r="AD15" s="245">
        <f t="shared" si="1"/>
        <v>0</v>
      </c>
      <c r="AE15" s="422">
        <v>0</v>
      </c>
      <c r="AK15" s="132"/>
    </row>
    <row r="16" spans="1:37" ht="12.75">
      <c r="A16" s="141">
        <f t="shared" si="2"/>
        <v>60.324999999999996</v>
      </c>
      <c r="B16" s="125">
        <f>'D1.x'!E25</f>
        <v>2.375</v>
      </c>
      <c r="C16" s="99">
        <f>'D1.x'!I25</f>
        <v>2.125</v>
      </c>
      <c r="D16" s="148">
        <f>'D1.x'!P25</f>
        <v>0</v>
      </c>
      <c r="E16" s="122">
        <f>'D1.x'!G25</f>
        <v>2</v>
      </c>
      <c r="F16" s="22">
        <f>'D1.x'!L25</f>
        <v>49.57783018867924</v>
      </c>
      <c r="G16" s="22">
        <f>'D1.x'!M25</f>
        <v>92.07311320754717</v>
      </c>
      <c r="H16" s="114">
        <f>'D1.x'!N25</f>
        <v>0</v>
      </c>
      <c r="I16" s="648">
        <v>1</v>
      </c>
      <c r="J16" s="648">
        <v>12</v>
      </c>
      <c r="K16" s="154">
        <f t="shared" si="3"/>
        <v>0</v>
      </c>
      <c r="L16" s="424">
        <f>'D1.x'!Q25</f>
        <v>35</v>
      </c>
      <c r="M16" s="173">
        <v>135</v>
      </c>
      <c r="N16" s="147">
        <f t="shared" si="10"/>
        <v>35</v>
      </c>
      <c r="O16" s="89" t="str">
        <f t="shared" si="7"/>
        <v>0:20</v>
      </c>
      <c r="P16" s="144" t="e">
        <f t="shared" si="4"/>
        <v>#DIV/0!</v>
      </c>
      <c r="Q16" s="144" t="e">
        <f t="shared" si="0"/>
        <v>#DIV/0!</v>
      </c>
      <c r="R16" s="124">
        <f>IF(UPPER('D1.x'!F25)="B",IF('D1.x'!D25='D1.x'!E25,'D1.x'!R25,'D1.x'!R25+'D1.x'!T25),'D1.x'!R25+'D1.x'!T25)</f>
        <v>0</v>
      </c>
      <c r="S16" s="161">
        <f t="shared" si="5"/>
        <v>0</v>
      </c>
      <c r="T16" s="122">
        <f>'D1.x'!V25</f>
        <v>0</v>
      </c>
      <c r="U16" s="174">
        <f>$U$15+2.5*(T16-$T$15)</f>
        <v>1000</v>
      </c>
      <c r="V16" s="147">
        <v>30</v>
      </c>
      <c r="W16" s="172">
        <v>125</v>
      </c>
      <c r="X16" s="345">
        <f t="shared" si="8"/>
        <v>20</v>
      </c>
      <c r="Y16" s="345">
        <f t="shared" si="9"/>
        <v>24</v>
      </c>
      <c r="Z16" s="272">
        <f>'D1.x'!U25</f>
        <v>0</v>
      </c>
      <c r="AA16" s="144">
        <f>'D1.x'!H25</f>
        <v>0</v>
      </c>
      <c r="AB16" s="273" t="e">
        <f>'D1.x'!$A$43/60+('D1.x'!$A$34/'D1.x'!P25)*(T16/M16)*(('D1.x'!$A$37+('D1.x'!K25/('D1.x'!$A$34-1)))/'D1.x'!$A$13)</f>
        <v>#DIV/0!</v>
      </c>
      <c r="AC16" s="275" t="e">
        <f t="shared" si="6"/>
        <v>#DIV/0!</v>
      </c>
      <c r="AD16" s="245">
        <f t="shared" si="1"/>
        <v>0</v>
      </c>
      <c r="AE16" s="422">
        <v>0</v>
      </c>
      <c r="AK16" s="42"/>
    </row>
    <row r="17" spans="1:37" ht="12.75">
      <c r="A17" s="141">
        <f t="shared" si="2"/>
        <v>63.5</v>
      </c>
      <c r="B17" s="125">
        <f>'D1.x'!E26</f>
        <v>2.5</v>
      </c>
      <c r="C17" s="99">
        <f>'D1.x'!I26</f>
        <v>2.125</v>
      </c>
      <c r="D17" s="148">
        <f>'D1.x'!P26</f>
        <v>0</v>
      </c>
      <c r="E17" s="122">
        <f>'D1.x'!G26</f>
        <v>2</v>
      </c>
      <c r="F17" s="22">
        <f>'D1.x'!L26</f>
        <v>51.93867924528301</v>
      </c>
      <c r="G17" s="22">
        <f>'D1.x'!M26</f>
        <v>96.45754716981132</v>
      </c>
      <c r="H17" s="114">
        <f>'D1.x'!N26</f>
        <v>0</v>
      </c>
      <c r="I17" s="648">
        <v>1</v>
      </c>
      <c r="J17" s="648">
        <v>12</v>
      </c>
      <c r="K17" s="154">
        <f t="shared" si="3"/>
        <v>0</v>
      </c>
      <c r="L17" s="424">
        <f>'D1.x'!Q26</f>
        <v>35</v>
      </c>
      <c r="M17" s="173">
        <v>135</v>
      </c>
      <c r="N17" s="147">
        <f t="shared" si="10"/>
        <v>35</v>
      </c>
      <c r="O17" s="89" t="str">
        <f t="shared" si="7"/>
        <v>0:20</v>
      </c>
      <c r="P17" s="144" t="e">
        <f t="shared" si="4"/>
        <v>#DIV/0!</v>
      </c>
      <c r="Q17" s="144" t="e">
        <f t="shared" si="0"/>
        <v>#DIV/0!</v>
      </c>
      <c r="R17" s="124">
        <f>IF(UPPER('D1.x'!F26)="B",IF('D1.x'!D26='D1.x'!E26,'D1.x'!R26,'D1.x'!R26+'D1.x'!T26),'D1.x'!R26+'D1.x'!T26)</f>
        <v>0</v>
      </c>
      <c r="S17" s="161">
        <f t="shared" si="5"/>
        <v>0</v>
      </c>
      <c r="T17" s="122">
        <f>'D1.x'!V26</f>
        <v>0</v>
      </c>
      <c r="U17" s="174">
        <f>$U$15+2.5*(T17-$T$15)</f>
        <v>1000</v>
      </c>
      <c r="V17" s="147">
        <v>30</v>
      </c>
      <c r="W17" s="172">
        <v>125</v>
      </c>
      <c r="X17" s="345">
        <f t="shared" si="8"/>
        <v>20</v>
      </c>
      <c r="Y17" s="345">
        <f t="shared" si="9"/>
        <v>24</v>
      </c>
      <c r="Z17" s="272">
        <f>'D1.x'!U26</f>
        <v>0</v>
      </c>
      <c r="AA17" s="144">
        <f>'D1.x'!H26</f>
        <v>0</v>
      </c>
      <c r="AB17" s="273" t="e">
        <f>'D1.x'!$A$43/60+('D1.x'!$A$34/'D1.x'!P26)*(T17/M17)*(('D1.x'!$A$37+('D1.x'!K26/('D1.x'!$A$34-1)))/'D1.x'!$A$13)</f>
        <v>#DIV/0!</v>
      </c>
      <c r="AC17" s="275" t="e">
        <f t="shared" si="6"/>
        <v>#DIV/0!</v>
      </c>
      <c r="AD17" s="245">
        <f t="shared" si="1"/>
        <v>0</v>
      </c>
      <c r="AE17" s="422">
        <v>0</v>
      </c>
      <c r="AK17" s="42"/>
    </row>
    <row r="18" spans="1:37" ht="12.75">
      <c r="A18" s="141">
        <f t="shared" si="2"/>
        <v>66.675</v>
      </c>
      <c r="B18" s="125">
        <f>'D1.x'!E27</f>
        <v>2.625</v>
      </c>
      <c r="C18" s="99">
        <f>'D1.x'!I27</f>
        <v>2.125</v>
      </c>
      <c r="D18" s="148">
        <f>'D1.x'!P27</f>
        <v>0</v>
      </c>
      <c r="E18" s="122">
        <f>'D1.x'!G27</f>
        <v>2</v>
      </c>
      <c r="F18" s="22">
        <f>'D1.x'!L27</f>
        <v>54.29952830188679</v>
      </c>
      <c r="G18" s="22">
        <f>'D1.x'!M27</f>
        <v>100.84198113207547</v>
      </c>
      <c r="H18" s="114">
        <f>'D1.x'!N27</f>
        <v>0</v>
      </c>
      <c r="I18" s="648">
        <v>1</v>
      </c>
      <c r="J18" s="648">
        <v>12</v>
      </c>
      <c r="K18" s="154">
        <f t="shared" si="3"/>
        <v>0</v>
      </c>
      <c r="L18" s="424">
        <f>'D1.x'!Q27</f>
        <v>35</v>
      </c>
      <c r="M18" s="173">
        <v>135</v>
      </c>
      <c r="N18" s="147">
        <f t="shared" si="10"/>
        <v>35</v>
      </c>
      <c r="O18" s="89" t="str">
        <f t="shared" si="7"/>
        <v>0:20</v>
      </c>
      <c r="P18" s="144" t="e">
        <f t="shared" si="4"/>
        <v>#DIV/0!</v>
      </c>
      <c r="Q18" s="144" t="e">
        <f t="shared" si="0"/>
        <v>#DIV/0!</v>
      </c>
      <c r="R18" s="124">
        <f>IF(UPPER('D1.x'!F27)="B",IF('D1.x'!D27='D1.x'!E27,'D1.x'!R27,'D1.x'!R27+'D1.x'!T27),'D1.x'!R27+'D1.x'!T27)</f>
        <v>0</v>
      </c>
      <c r="S18" s="161">
        <f t="shared" si="5"/>
        <v>0</v>
      </c>
      <c r="T18" s="122">
        <f>'D1.x'!V27</f>
        <v>0</v>
      </c>
      <c r="U18" s="174">
        <f>$U$15+2.5*(T18-$T$15)</f>
        <v>1000</v>
      </c>
      <c r="V18" s="147">
        <v>30</v>
      </c>
      <c r="W18" s="172">
        <v>125</v>
      </c>
      <c r="X18" s="345">
        <f t="shared" si="8"/>
        <v>20</v>
      </c>
      <c r="Y18" s="345">
        <f t="shared" si="9"/>
        <v>24</v>
      </c>
      <c r="Z18" s="272">
        <f>'D1.x'!U27</f>
        <v>0</v>
      </c>
      <c r="AA18" s="144">
        <f>'D1.x'!H27</f>
        <v>0</v>
      </c>
      <c r="AB18" s="273" t="e">
        <f>'D1.x'!$A$43/60+('D1.x'!$A$34/'D1.x'!P27)*(T18/M18)*(('D1.x'!$A$37+('D1.x'!K27/('D1.x'!$A$34-1)))/'D1.x'!$A$13)</f>
        <v>#DIV/0!</v>
      </c>
      <c r="AC18" s="275" t="e">
        <f t="shared" si="6"/>
        <v>#DIV/0!</v>
      </c>
      <c r="AD18" s="245">
        <f t="shared" si="1"/>
        <v>0</v>
      </c>
      <c r="AE18" s="422">
        <v>0</v>
      </c>
      <c r="AK18" s="42"/>
    </row>
    <row r="19" spans="1:34" ht="12.75">
      <c r="A19" s="141">
        <f t="shared" si="2"/>
        <v>69.85</v>
      </c>
      <c r="B19" s="125">
        <f>'D1.x'!E28</f>
        <v>2.75</v>
      </c>
      <c r="C19" s="99">
        <f>'D1.x'!I28</f>
        <v>2.5</v>
      </c>
      <c r="D19" s="148">
        <f>'D1.x'!P28</f>
        <v>0</v>
      </c>
      <c r="E19" s="122">
        <f>'D1.x'!G28</f>
        <v>2</v>
      </c>
      <c r="F19" s="22">
        <f>'D1.x'!L28</f>
        <v>56.66037735849057</v>
      </c>
      <c r="G19" s="22">
        <f>'D1.x'!M28</f>
        <v>105.22641509433964</v>
      </c>
      <c r="H19" s="114">
        <f>'D1.x'!N28</f>
        <v>0</v>
      </c>
      <c r="I19" s="648">
        <v>1</v>
      </c>
      <c r="J19" s="648">
        <v>12</v>
      </c>
      <c r="K19" s="154">
        <f t="shared" si="3"/>
        <v>0</v>
      </c>
      <c r="L19" s="424">
        <f>'D1.x'!Q28</f>
        <v>35</v>
      </c>
      <c r="M19" s="173">
        <v>135</v>
      </c>
      <c r="N19" s="147">
        <f t="shared" si="10"/>
        <v>35</v>
      </c>
      <c r="O19" s="89" t="str">
        <f t="shared" si="7"/>
        <v>0:20</v>
      </c>
      <c r="P19" s="144" t="e">
        <f t="shared" si="4"/>
        <v>#DIV/0!</v>
      </c>
      <c r="Q19" s="144" t="e">
        <f t="shared" si="0"/>
        <v>#DIV/0!</v>
      </c>
      <c r="R19" s="124">
        <f>IF(UPPER('D1.x'!F28)="B",IF('D1.x'!D28='D1.x'!E28,'D1.x'!R28,'D1.x'!R28+'D1.x'!T28),'D1.x'!R28+'D1.x'!T28)</f>
        <v>0</v>
      </c>
      <c r="S19" s="161">
        <f t="shared" si="5"/>
        <v>0</v>
      </c>
      <c r="T19" s="122">
        <f>'D1.x'!V28</f>
        <v>0</v>
      </c>
      <c r="U19" s="174">
        <f>$U$15+2.5*(T19-$T$15)</f>
        <v>1000</v>
      </c>
      <c r="V19" s="147">
        <v>30</v>
      </c>
      <c r="W19" s="172">
        <v>125</v>
      </c>
      <c r="X19" s="345">
        <f t="shared" si="8"/>
        <v>20</v>
      </c>
      <c r="Y19" s="345">
        <f t="shared" si="9"/>
        <v>24</v>
      </c>
      <c r="Z19" s="272">
        <f>'D1.x'!U28</f>
        <v>0</v>
      </c>
      <c r="AA19" s="144">
        <f>'D1.x'!H28</f>
        <v>0</v>
      </c>
      <c r="AB19" s="273" t="e">
        <f>'D1.x'!$A$43/60+('D1.x'!$A$34/'D1.x'!P28)*(T19/M19)*(('D1.x'!$A$37+('D1.x'!K28/('D1.x'!$A$34-1)))/'D1.x'!$A$13)</f>
        <v>#DIV/0!</v>
      </c>
      <c r="AC19" s="275" t="e">
        <f>AD19/T19</f>
        <v>#DIV/0!</v>
      </c>
      <c r="AD19" s="245">
        <f t="shared" si="1"/>
        <v>0</v>
      </c>
      <c r="AE19" s="422">
        <v>0</v>
      </c>
      <c r="AH19" s="180"/>
    </row>
    <row r="20" spans="1:31" ht="12.75">
      <c r="A20" s="141">
        <f t="shared" si="2"/>
        <v>73.02499999999999</v>
      </c>
      <c r="B20" s="125">
        <f>'D1.x'!E29</f>
        <v>2.875</v>
      </c>
      <c r="C20" s="99">
        <f>'D1.x'!I29</f>
        <v>2.5</v>
      </c>
      <c r="D20" s="148">
        <f>'D1.x'!P29</f>
        <v>0</v>
      </c>
      <c r="E20" s="122">
        <f>'D1.x'!G29</f>
        <v>2</v>
      </c>
      <c r="F20" s="22">
        <f>'D1.x'!L29</f>
        <v>59.02122641509434</v>
      </c>
      <c r="G20" s="22">
        <f>'D1.x'!M29</f>
        <v>109.61084905660378</v>
      </c>
      <c r="H20" s="114">
        <f>'D1.x'!N29</f>
        <v>0</v>
      </c>
      <c r="I20" s="648">
        <v>1</v>
      </c>
      <c r="J20" s="648">
        <v>12</v>
      </c>
      <c r="K20" s="154">
        <f t="shared" si="3"/>
        <v>0</v>
      </c>
      <c r="L20" s="424">
        <f>'D1.x'!Q29</f>
        <v>35</v>
      </c>
      <c r="M20" s="173">
        <v>135</v>
      </c>
      <c r="N20" s="147">
        <f t="shared" si="10"/>
        <v>35</v>
      </c>
      <c r="O20" s="89" t="str">
        <f t="shared" si="7"/>
        <v>0:20</v>
      </c>
      <c r="P20" s="144" t="e">
        <f t="shared" si="4"/>
        <v>#DIV/0!</v>
      </c>
      <c r="Q20" s="144" t="e">
        <f t="shared" si="0"/>
        <v>#DIV/0!</v>
      </c>
      <c r="R20" s="124">
        <f>IF(UPPER('D1.x'!F29)="B",IF('D1.x'!D29='D1.x'!E29,'D1.x'!R29,'D1.x'!R29+'D1.x'!T29),'D1.x'!R29+'D1.x'!T29)</f>
        <v>0</v>
      </c>
      <c r="S20" s="161">
        <f t="shared" si="5"/>
        <v>0</v>
      </c>
      <c r="T20" s="122">
        <f>'D1.x'!V29</f>
        <v>0</v>
      </c>
      <c r="U20" s="174">
        <f>$U$19+2.5*(T20-$T$19)</f>
        <v>1000</v>
      </c>
      <c r="V20" s="147">
        <v>30</v>
      </c>
      <c r="W20" s="172">
        <v>125</v>
      </c>
      <c r="X20" s="345">
        <f t="shared" si="8"/>
        <v>20</v>
      </c>
      <c r="Y20" s="345">
        <f t="shared" si="9"/>
        <v>24</v>
      </c>
      <c r="Z20" s="272">
        <f>'D1.x'!U29</f>
        <v>0</v>
      </c>
      <c r="AA20" s="144">
        <f>'D1.x'!H29</f>
        <v>0</v>
      </c>
      <c r="AB20" s="273" t="e">
        <f>'D1.x'!$A$43/60+('D1.x'!$A$34/'D1.x'!P29)*(T20/M20)*(('D1.x'!$A$37+('D1.x'!K29/('D1.x'!$A$34-1)))/'D1.x'!$A$13)</f>
        <v>#DIV/0!</v>
      </c>
      <c r="AC20" s="275" t="e">
        <f aca="true" t="shared" si="11" ref="AC20:AC34">M20/T20</f>
        <v>#DIV/0!</v>
      </c>
      <c r="AD20" s="245">
        <f t="shared" si="1"/>
        <v>0</v>
      </c>
      <c r="AE20" s="422">
        <v>0</v>
      </c>
    </row>
    <row r="21" spans="1:31" ht="12.75">
      <c r="A21" s="141">
        <f t="shared" si="2"/>
        <v>76.19999999999999</v>
      </c>
      <c r="B21" s="125">
        <f>'D1.x'!E30</f>
        <v>3</v>
      </c>
      <c r="C21" s="99">
        <f>'D1.x'!I30</f>
        <v>2.5</v>
      </c>
      <c r="D21" s="148">
        <f>'D1.x'!P30</f>
        <v>0</v>
      </c>
      <c r="E21" s="122">
        <f>'D1.x'!G30</f>
        <v>2</v>
      </c>
      <c r="F21" s="22">
        <f>'D1.x'!L30</f>
        <v>61.382075471698116</v>
      </c>
      <c r="G21" s="22">
        <f>'D1.x'!M30</f>
        <v>113.99528301886794</v>
      </c>
      <c r="H21" s="114">
        <f>'D1.x'!N30</f>
        <v>0</v>
      </c>
      <c r="I21" s="648">
        <v>1</v>
      </c>
      <c r="J21" s="648">
        <v>12</v>
      </c>
      <c r="K21" s="154">
        <f t="shared" si="3"/>
        <v>0</v>
      </c>
      <c r="L21" s="424">
        <f>'D1.x'!Q30</f>
        <v>35</v>
      </c>
      <c r="M21" s="173">
        <v>135</v>
      </c>
      <c r="N21" s="147">
        <f t="shared" si="10"/>
        <v>35</v>
      </c>
      <c r="O21" s="89" t="str">
        <f t="shared" si="7"/>
        <v>0:20</v>
      </c>
      <c r="P21" s="144" t="e">
        <f t="shared" si="4"/>
        <v>#DIV/0!</v>
      </c>
      <c r="Q21" s="144" t="e">
        <f t="shared" si="0"/>
        <v>#DIV/0!</v>
      </c>
      <c r="R21" s="124">
        <f>IF(UPPER('D1.x'!F30)="B",IF('D1.x'!D30='D1.x'!E30,'D1.x'!R30,'D1.x'!R30+'D1.x'!T30),'D1.x'!R30+'D1.x'!T30)</f>
        <v>0</v>
      </c>
      <c r="S21" s="166">
        <f t="shared" si="5"/>
        <v>0</v>
      </c>
      <c r="T21" s="122">
        <f>'D1.x'!V30</f>
        <v>0</v>
      </c>
      <c r="U21" s="174">
        <f>$U$19+2.5*(T21-$T$19)</f>
        <v>1000</v>
      </c>
      <c r="V21" s="147">
        <v>30</v>
      </c>
      <c r="W21" s="172">
        <v>125</v>
      </c>
      <c r="X21" s="345">
        <f t="shared" si="8"/>
        <v>20</v>
      </c>
      <c r="Y21" s="345">
        <f t="shared" si="9"/>
        <v>24</v>
      </c>
      <c r="Z21" s="272">
        <f>'D1.x'!U30</f>
        <v>0</v>
      </c>
      <c r="AA21" s="144">
        <f>'D1.x'!H30</f>
        <v>0</v>
      </c>
      <c r="AB21" s="273" t="e">
        <f>'D1.x'!$A$43/60+('D1.x'!$A$34/'D1.x'!P30)*(T21/M21)*(('D1.x'!$A$37+('D1.x'!K30/('D1.x'!$A$34-1)))/'D1.x'!$A$13)</f>
        <v>#DIV/0!</v>
      </c>
      <c r="AC21" s="275" t="e">
        <f t="shared" si="11"/>
        <v>#DIV/0!</v>
      </c>
      <c r="AD21" s="245">
        <f t="shared" si="1"/>
        <v>0</v>
      </c>
      <c r="AE21" s="422">
        <v>0</v>
      </c>
    </row>
    <row r="22" spans="1:31" ht="12.75">
      <c r="A22" s="141">
        <f t="shared" si="2"/>
        <v>79.375</v>
      </c>
      <c r="B22" s="125">
        <f>'D1.x'!E31</f>
        <v>3.125</v>
      </c>
      <c r="C22" s="99">
        <f>'D1.x'!I31</f>
        <v>2.5</v>
      </c>
      <c r="D22" s="148">
        <f>'D1.x'!P31</f>
        <v>0</v>
      </c>
      <c r="E22" s="122">
        <f>'D1.x'!G31</f>
        <v>2</v>
      </c>
      <c r="F22" s="22">
        <f>'D1.x'!L31</f>
        <v>63.742924528301884</v>
      </c>
      <c r="G22" s="22">
        <f>'D1.x'!M31</f>
        <v>118.37971698113209</v>
      </c>
      <c r="H22" s="114">
        <f>'D1.x'!N31</f>
        <v>0</v>
      </c>
      <c r="I22" s="648">
        <v>1</v>
      </c>
      <c r="J22" s="648">
        <v>12</v>
      </c>
      <c r="K22" s="154">
        <f t="shared" si="3"/>
        <v>0.305</v>
      </c>
      <c r="L22" s="424">
        <f>'D1.x'!Q31</f>
        <v>35</v>
      </c>
      <c r="M22" s="173">
        <v>135</v>
      </c>
      <c r="N22" s="147">
        <f t="shared" si="10"/>
        <v>36</v>
      </c>
      <c r="O22" s="89" t="str">
        <f t="shared" si="7"/>
        <v>0:20</v>
      </c>
      <c r="P22" s="144" t="e">
        <f t="shared" si="4"/>
        <v>#DIV/0!</v>
      </c>
      <c r="Q22" s="144" t="e">
        <f t="shared" si="0"/>
        <v>#DIV/0!</v>
      </c>
      <c r="R22" s="124">
        <f>IF(UPPER('D1.x'!F31)="B",IF('D1.x'!D31='D1.x'!E31,'D1.x'!R31,'D1.x'!R31+'D1.x'!T31),'D1.x'!R31+'D1.x'!T31)</f>
        <v>0</v>
      </c>
      <c r="S22" s="161">
        <f t="shared" si="5"/>
        <v>2</v>
      </c>
      <c r="T22" s="122">
        <f>'D1.x'!V31</f>
        <v>0</v>
      </c>
      <c r="U22" s="174">
        <f>$U$19+2.5*(T22-$T$19)</f>
        <v>1000</v>
      </c>
      <c r="V22" s="147">
        <v>30</v>
      </c>
      <c r="W22" s="172">
        <v>125</v>
      </c>
      <c r="X22" s="345">
        <f t="shared" si="8"/>
        <v>20</v>
      </c>
      <c r="Y22" s="345">
        <f t="shared" si="9"/>
        <v>24</v>
      </c>
      <c r="Z22" s="272">
        <f>'D1.x'!U31</f>
        <v>0</v>
      </c>
      <c r="AA22" s="144">
        <f>'D1.x'!H31</f>
        <v>0</v>
      </c>
      <c r="AB22" s="273" t="e">
        <f>'D1.x'!$A$43/60+('D1.x'!$A$34/'D1.x'!P31)*(T22/M22)*(('D1.x'!$A$37+('D1.x'!K31/('D1.x'!$A$34-1)))/'D1.x'!$A$13)</f>
        <v>#DIV/0!</v>
      </c>
      <c r="AC22" s="275" t="e">
        <f t="shared" si="11"/>
        <v>#DIV/0!</v>
      </c>
      <c r="AD22" s="245">
        <f t="shared" si="1"/>
        <v>0</v>
      </c>
      <c r="AE22" s="422">
        <v>0</v>
      </c>
    </row>
    <row r="23" spans="1:31" ht="12.75">
      <c r="A23" s="141">
        <f t="shared" si="2"/>
        <v>82.55</v>
      </c>
      <c r="B23" s="125">
        <f>'D1.x'!E32</f>
        <v>3.25</v>
      </c>
      <c r="C23" s="99">
        <f>'D1.x'!I32</f>
        <v>3</v>
      </c>
      <c r="D23" s="148">
        <f>'D1.x'!P32</f>
        <v>0</v>
      </c>
      <c r="E23" s="122">
        <f>'D1.x'!G32</f>
        <v>2</v>
      </c>
      <c r="F23" s="22">
        <f>'D1.x'!L32</f>
        <v>66.10377358490567</v>
      </c>
      <c r="G23" s="22">
        <f>'D1.x'!M32</f>
        <v>122.76415094339623</v>
      </c>
      <c r="H23" s="114">
        <f>'D1.x'!N32</f>
        <v>0</v>
      </c>
      <c r="I23" s="648">
        <v>1</v>
      </c>
      <c r="J23" s="648">
        <v>12</v>
      </c>
      <c r="K23" s="154">
        <f t="shared" si="3"/>
        <v>0</v>
      </c>
      <c r="L23" s="424">
        <f>'D1.x'!Q32</f>
        <v>35</v>
      </c>
      <c r="M23" s="173">
        <v>135</v>
      </c>
      <c r="N23" s="147">
        <f t="shared" si="10"/>
        <v>35</v>
      </c>
      <c r="O23" s="89" t="str">
        <f t="shared" si="7"/>
        <v>0:20</v>
      </c>
      <c r="P23" s="144" t="e">
        <f t="shared" si="4"/>
        <v>#DIV/0!</v>
      </c>
      <c r="Q23" s="144" t="e">
        <f t="shared" si="0"/>
        <v>#DIV/0!</v>
      </c>
      <c r="R23" s="124">
        <f>IF(UPPER('D1.x'!F32)="B",IF('D1.x'!D32='D1.x'!E32,'D1.x'!R32,'D1.x'!R32+'D1.x'!T32),'D1.x'!R32+'D1.x'!T32)</f>
        <v>0</v>
      </c>
      <c r="S23" s="161">
        <f t="shared" si="5"/>
        <v>0</v>
      </c>
      <c r="T23" s="122">
        <f>'D1.x'!V32</f>
        <v>0</v>
      </c>
      <c r="U23" s="174">
        <f>$U$19+2.5*(T23-$T$19)</f>
        <v>1000</v>
      </c>
      <c r="V23" s="147">
        <v>30</v>
      </c>
      <c r="W23" s="172">
        <v>125</v>
      </c>
      <c r="X23" s="345">
        <f t="shared" si="8"/>
        <v>20</v>
      </c>
      <c r="Y23" s="345">
        <f t="shared" si="9"/>
        <v>24</v>
      </c>
      <c r="Z23" s="272">
        <f>'D1.x'!U32</f>
        <v>0</v>
      </c>
      <c r="AA23" s="144">
        <f>'D1.x'!H32</f>
        <v>0</v>
      </c>
      <c r="AB23" s="273" t="e">
        <f>'D1.x'!$A$43/60+('D1.x'!$A$34/'D1.x'!P32)*(T23/M23)*(('D1.x'!$A$37+('D1.x'!K32/('D1.x'!$A$34-1)))/'D1.x'!$A$13)</f>
        <v>#DIV/0!</v>
      </c>
      <c r="AC23" s="275" t="e">
        <f t="shared" si="11"/>
        <v>#DIV/0!</v>
      </c>
      <c r="AD23" s="245">
        <f t="shared" si="1"/>
        <v>0</v>
      </c>
      <c r="AE23" s="422">
        <v>0</v>
      </c>
    </row>
    <row r="24" spans="1:31" ht="12.75">
      <c r="A24" s="141">
        <f t="shared" si="2"/>
        <v>85.725</v>
      </c>
      <c r="B24" s="125">
        <f>'D1.x'!E33</f>
        <v>3.375</v>
      </c>
      <c r="C24" s="99">
        <f>'D1.x'!I33</f>
        <v>3</v>
      </c>
      <c r="D24" s="148">
        <f>'D1.x'!P33</f>
        <v>0</v>
      </c>
      <c r="E24" s="122">
        <f>'D1.x'!G33</f>
        <v>2</v>
      </c>
      <c r="F24" s="22">
        <f>'D1.x'!L33</f>
        <v>68.46462264150944</v>
      </c>
      <c r="G24" s="22">
        <f>'D1.x'!M33</f>
        <v>127.14858490566039</v>
      </c>
      <c r="H24" s="114">
        <f>'D1.x'!N33</f>
        <v>0</v>
      </c>
      <c r="I24" s="648">
        <v>1</v>
      </c>
      <c r="J24" s="648">
        <v>12</v>
      </c>
      <c r="K24" s="154">
        <f t="shared" si="3"/>
        <v>0</v>
      </c>
      <c r="L24" s="424">
        <f>'D1.x'!Q33</f>
        <v>35</v>
      </c>
      <c r="M24" s="173">
        <v>145</v>
      </c>
      <c r="N24" s="147">
        <f t="shared" si="10"/>
        <v>35</v>
      </c>
      <c r="O24" s="89" t="str">
        <f t="shared" si="7"/>
        <v>0:20</v>
      </c>
      <c r="P24" s="144" t="e">
        <f t="shared" si="4"/>
        <v>#DIV/0!</v>
      </c>
      <c r="Q24" s="144" t="e">
        <f t="shared" si="0"/>
        <v>#DIV/0!</v>
      </c>
      <c r="R24" s="124">
        <f>IF(UPPER('D1.x'!F33)="B",IF('D1.x'!D33='D1.x'!E33,'D1.x'!R33,'D1.x'!R33+'D1.x'!T33),'D1.x'!R33+'D1.x'!T33)</f>
        <v>0</v>
      </c>
      <c r="S24" s="161">
        <f t="shared" si="5"/>
        <v>0</v>
      </c>
      <c r="T24" s="122">
        <f>'D1.x'!V33</f>
        <v>0</v>
      </c>
      <c r="U24" s="174">
        <f>$U$23+2.5*(T24-$T$23)</f>
        <v>1000</v>
      </c>
      <c r="V24" s="147">
        <v>30</v>
      </c>
      <c r="W24" s="172">
        <v>125</v>
      </c>
      <c r="X24" s="345">
        <f t="shared" si="8"/>
        <v>20</v>
      </c>
      <c r="Y24" s="345">
        <f t="shared" si="9"/>
        <v>24</v>
      </c>
      <c r="Z24" s="272">
        <f>'D1.x'!U33</f>
        <v>0</v>
      </c>
      <c r="AA24" s="144">
        <f>'D1.x'!H33</f>
        <v>0</v>
      </c>
      <c r="AB24" s="273" t="e">
        <f>'D1.x'!$A$43/60+('D1.x'!$A$34/'D1.x'!P33)*(T24/M24)*(('D1.x'!$A$37+('D1.x'!K33/('D1.x'!$A$34-1)))/'D1.x'!$A$13)</f>
        <v>#DIV/0!</v>
      </c>
      <c r="AC24" s="275" t="e">
        <f t="shared" si="11"/>
        <v>#DIV/0!</v>
      </c>
      <c r="AD24" s="245">
        <f t="shared" si="1"/>
        <v>0</v>
      </c>
      <c r="AE24" s="422">
        <v>0</v>
      </c>
    </row>
    <row r="25" spans="1:31" ht="12.75">
      <c r="A25" s="141">
        <f t="shared" si="2"/>
        <v>88.89999999999999</v>
      </c>
      <c r="B25" s="125">
        <f>'D1.x'!E34</f>
        <v>3.5</v>
      </c>
      <c r="C25" s="99">
        <f>'D1.x'!I34</f>
        <v>3</v>
      </c>
      <c r="D25" s="148">
        <f>'D1.x'!P34</f>
        <v>0</v>
      </c>
      <c r="E25" s="122">
        <f>'D1.x'!G34</f>
        <v>2</v>
      </c>
      <c r="F25" s="22">
        <f>'D1.x'!L34</f>
        <v>70.8254716981132</v>
      </c>
      <c r="G25" s="22">
        <f>'D1.x'!M34</f>
        <v>131.53301886792454</v>
      </c>
      <c r="H25" s="114">
        <f>'D1.x'!N34</f>
        <v>0</v>
      </c>
      <c r="I25" s="648">
        <v>1</v>
      </c>
      <c r="J25" s="648">
        <v>12</v>
      </c>
      <c r="K25" s="154">
        <f t="shared" si="3"/>
        <v>0</v>
      </c>
      <c r="L25" s="424">
        <f>'D1.x'!Q34</f>
        <v>35</v>
      </c>
      <c r="M25" s="173">
        <v>145</v>
      </c>
      <c r="N25" s="147">
        <f t="shared" si="10"/>
        <v>35</v>
      </c>
      <c r="O25" s="89" t="str">
        <f t="shared" si="7"/>
        <v>0:20</v>
      </c>
      <c r="P25" s="144" t="e">
        <f t="shared" si="4"/>
        <v>#DIV/0!</v>
      </c>
      <c r="Q25" s="144" t="e">
        <f t="shared" si="0"/>
        <v>#DIV/0!</v>
      </c>
      <c r="R25" s="124">
        <f>IF(UPPER('D1.x'!F34)="B",IF('D1.x'!D34='D1.x'!E34,'D1.x'!R34,'D1.x'!R34+'D1.x'!T34),'D1.x'!R34+'D1.x'!T34)</f>
        <v>0</v>
      </c>
      <c r="S25" s="161">
        <f t="shared" si="5"/>
        <v>0</v>
      </c>
      <c r="T25" s="122">
        <f>'D1.x'!V34</f>
        <v>0</v>
      </c>
      <c r="U25" s="174">
        <f>$U$23+2.5*(T25-$T$23)</f>
        <v>1000</v>
      </c>
      <c r="V25" s="147">
        <v>30</v>
      </c>
      <c r="W25" s="172">
        <v>125</v>
      </c>
      <c r="X25" s="345">
        <f t="shared" si="8"/>
        <v>20</v>
      </c>
      <c r="Y25" s="345">
        <f t="shared" si="9"/>
        <v>24</v>
      </c>
      <c r="Z25" s="272">
        <f>'D1.x'!U34</f>
        <v>0</v>
      </c>
      <c r="AA25" s="144">
        <f>'D1.x'!H34</f>
        <v>0</v>
      </c>
      <c r="AB25" s="273" t="e">
        <f>'D1.x'!$A$43/60+('D1.x'!$A$34/'D1.x'!P34)*(T25/M25)*(('D1.x'!$A$37+('D1.x'!K34/('D1.x'!$A$34-1)))/'D1.x'!$A$13)</f>
        <v>#DIV/0!</v>
      </c>
      <c r="AC25" s="275" t="e">
        <f t="shared" si="11"/>
        <v>#DIV/0!</v>
      </c>
      <c r="AD25" s="245">
        <f t="shared" si="1"/>
        <v>0</v>
      </c>
      <c r="AE25" s="422">
        <v>0</v>
      </c>
    </row>
    <row r="26" spans="1:31" ht="12.75">
      <c r="A26" s="141">
        <f t="shared" si="2"/>
        <v>92.07499999999999</v>
      </c>
      <c r="B26" s="125">
        <f>'D1.x'!E35</f>
        <v>3.625</v>
      </c>
      <c r="C26" s="99">
        <f>'D1.x'!I35</f>
        <v>3</v>
      </c>
      <c r="D26" s="148">
        <f>'D1.x'!P35</f>
        <v>0</v>
      </c>
      <c r="E26" s="122">
        <f>'D1.x'!G35</f>
        <v>2</v>
      </c>
      <c r="F26" s="22">
        <f>'D1.x'!L35</f>
        <v>73.18632075471697</v>
      </c>
      <c r="G26" s="22">
        <f>'D1.x'!M35</f>
        <v>135.9174528301887</v>
      </c>
      <c r="H26" s="114">
        <f>'D1.x'!N35</f>
        <v>0</v>
      </c>
      <c r="I26" s="648">
        <v>1</v>
      </c>
      <c r="J26" s="648">
        <v>12</v>
      </c>
      <c r="K26" s="154">
        <f t="shared" si="3"/>
        <v>0.305</v>
      </c>
      <c r="L26" s="424">
        <f>'D1.x'!Q35</f>
        <v>35</v>
      </c>
      <c r="M26" s="173">
        <v>145</v>
      </c>
      <c r="N26" s="147">
        <f t="shared" si="10"/>
        <v>36</v>
      </c>
      <c r="O26" s="89" t="str">
        <f t="shared" si="7"/>
        <v>0:20</v>
      </c>
      <c r="P26" s="144" t="e">
        <f t="shared" si="4"/>
        <v>#DIV/0!</v>
      </c>
      <c r="Q26" s="144" t="e">
        <f t="shared" si="0"/>
        <v>#DIV/0!</v>
      </c>
      <c r="R26" s="124">
        <f>IF(UPPER('D1.x'!F35)="B",IF('D1.x'!D35='D1.x'!E35,'D1.x'!R35,'D1.x'!R35+'D1.x'!T35),'D1.x'!R35+'D1.x'!T35)</f>
        <v>0</v>
      </c>
      <c r="S26" s="161">
        <f t="shared" si="5"/>
        <v>2</v>
      </c>
      <c r="T26" s="122">
        <f>'D1.x'!V35</f>
        <v>0</v>
      </c>
      <c r="U26" s="174">
        <f>$U$23+2.5*(T26-$T$23)</f>
        <v>1000</v>
      </c>
      <c r="V26" s="147">
        <v>30</v>
      </c>
      <c r="W26" s="172">
        <v>125</v>
      </c>
      <c r="X26" s="345">
        <f t="shared" si="8"/>
        <v>20</v>
      </c>
      <c r="Y26" s="345">
        <f t="shared" si="9"/>
        <v>24</v>
      </c>
      <c r="Z26" s="272">
        <f>'D1.x'!U35</f>
        <v>0</v>
      </c>
      <c r="AA26" s="144">
        <f>'D1.x'!H35</f>
        <v>0</v>
      </c>
      <c r="AB26" s="273" t="e">
        <f>'D1.x'!$A$43/60+('D1.x'!$A$34/'D1.x'!P35)*(T26/M26)*(('D1.x'!$A$37+('D1.x'!K35/('D1.x'!$A$34-1)))/'D1.x'!$A$13)</f>
        <v>#DIV/0!</v>
      </c>
      <c r="AC26" s="275" t="e">
        <f t="shared" si="11"/>
        <v>#DIV/0!</v>
      </c>
      <c r="AD26" s="245">
        <f t="shared" si="1"/>
        <v>0</v>
      </c>
      <c r="AE26" s="422">
        <v>0</v>
      </c>
    </row>
    <row r="27" spans="1:36" s="86" customFormat="1" ht="12.75">
      <c r="A27" s="262">
        <f t="shared" si="2"/>
        <v>95.25</v>
      </c>
      <c r="B27" s="125">
        <f>'D1.x'!E36</f>
        <v>3.75</v>
      </c>
      <c r="C27" s="123">
        <f>'D1.x'!I36</f>
        <v>3</v>
      </c>
      <c r="D27" s="148">
        <f>'D1.x'!P36</f>
        <v>0</v>
      </c>
      <c r="E27" s="122">
        <f>'D1.x'!G36</f>
        <v>2</v>
      </c>
      <c r="F27" s="122">
        <f>'D1.x'!L36</f>
        <v>75.54716981132076</v>
      </c>
      <c r="G27" s="122">
        <f>'D1.x'!M36</f>
        <v>140.30188679245285</v>
      </c>
      <c r="H27" s="124">
        <f>'D1.x'!N36</f>
        <v>0</v>
      </c>
      <c r="I27" s="648">
        <v>1</v>
      </c>
      <c r="J27" s="648">
        <v>12</v>
      </c>
      <c r="K27" s="154">
        <f t="shared" si="3"/>
        <v>0.43</v>
      </c>
      <c r="L27" s="424">
        <f>'D1.x'!Q36</f>
        <v>35</v>
      </c>
      <c r="M27" s="173">
        <v>115</v>
      </c>
      <c r="N27" s="147">
        <f t="shared" si="10"/>
        <v>36</v>
      </c>
      <c r="O27" s="89" t="str">
        <f t="shared" si="7"/>
        <v>0:20</v>
      </c>
      <c r="P27" s="144" t="e">
        <f t="shared" si="4"/>
        <v>#DIV/0!</v>
      </c>
      <c r="Q27" s="144" t="e">
        <f t="shared" si="0"/>
        <v>#DIV/0!</v>
      </c>
      <c r="R27" s="124">
        <f>IF(UPPER('D1.x'!F36)="B",IF('D1.x'!D36='D1.x'!E36,'D1.x'!R36,'D1.x'!R36+'D1.x'!T36),'D1.x'!R36+'D1.x'!T36)</f>
        <v>0</v>
      </c>
      <c r="S27" s="161">
        <f t="shared" si="5"/>
        <v>2</v>
      </c>
      <c r="T27" s="122">
        <f>'D1.x'!V36</f>
        <v>0</v>
      </c>
      <c r="U27" s="173">
        <v>1250</v>
      </c>
      <c r="V27" s="147">
        <v>30</v>
      </c>
      <c r="W27" s="172">
        <v>125</v>
      </c>
      <c r="X27" s="345">
        <f t="shared" si="8"/>
        <v>20</v>
      </c>
      <c r="Y27" s="345">
        <f t="shared" si="9"/>
        <v>24</v>
      </c>
      <c r="Z27" s="272">
        <f>'D1.x'!U36</f>
        <v>0</v>
      </c>
      <c r="AA27" s="144">
        <f>'D1.x'!H36</f>
        <v>0</v>
      </c>
      <c r="AB27" s="273" t="e">
        <f>'D1.x'!$A$43/60+('D1.x'!$A$34/'D1.x'!P36)*(T27/M27)*(('D1.x'!$A$37+('D1.x'!K36/('D1.x'!$A$34-1)))/'D1.x'!$A$13)</f>
        <v>#DIV/0!</v>
      </c>
      <c r="AC27" s="274" t="e">
        <f t="shared" si="11"/>
        <v>#DIV/0!</v>
      </c>
      <c r="AD27" s="280">
        <f t="shared" si="1"/>
        <v>0</v>
      </c>
      <c r="AE27" s="422">
        <v>0</v>
      </c>
      <c r="AF27"/>
      <c r="AG27"/>
      <c r="AH27"/>
      <c r="AI27"/>
      <c r="AJ27"/>
    </row>
    <row r="28" spans="1:31" ht="12.75">
      <c r="A28" s="141">
        <f t="shared" si="2"/>
        <v>98.425</v>
      </c>
      <c r="B28" s="125">
        <f>'D1.x'!E37</f>
        <v>3.875</v>
      </c>
      <c r="C28" s="99">
        <f>'D1.x'!I37</f>
        <v>3.625</v>
      </c>
      <c r="D28" s="148">
        <f>'D1.x'!P37</f>
        <v>0</v>
      </c>
      <c r="E28" s="122">
        <f>'D1.x'!G37</f>
        <v>3</v>
      </c>
      <c r="F28" s="22">
        <f>'D1.x'!L37</f>
        <v>77.90801886792453</v>
      </c>
      <c r="G28" s="22">
        <f>'D1.x'!M37</f>
        <v>144.686320754717</v>
      </c>
      <c r="H28" s="114">
        <f>'D1.x'!N37</f>
        <v>0</v>
      </c>
      <c r="I28" s="648">
        <v>1</v>
      </c>
      <c r="J28" s="648">
        <v>12</v>
      </c>
      <c r="K28" s="154">
        <f t="shared" si="3"/>
        <v>0</v>
      </c>
      <c r="L28" s="424">
        <f>'D1.x'!Q37</f>
        <v>35</v>
      </c>
      <c r="M28" s="173">
        <v>125</v>
      </c>
      <c r="N28" s="147">
        <f t="shared" si="10"/>
        <v>35</v>
      </c>
      <c r="O28" s="89" t="str">
        <f t="shared" si="7"/>
        <v>0:20</v>
      </c>
      <c r="P28" s="144" t="e">
        <f t="shared" si="4"/>
        <v>#DIV/0!</v>
      </c>
      <c r="Q28" s="144" t="e">
        <f t="shared" si="0"/>
        <v>#DIV/0!</v>
      </c>
      <c r="R28" s="124">
        <f>IF(UPPER('D1.x'!F37)="B",IF('D1.x'!D37='D1.x'!E37,'D1.x'!R37,'D1.x'!R37+'D1.x'!T37),'D1.x'!R37+'D1.x'!T37)</f>
        <v>0</v>
      </c>
      <c r="S28" s="161">
        <f t="shared" si="5"/>
        <v>0</v>
      </c>
      <c r="T28" s="122">
        <f>'D1.x'!V37</f>
        <v>0</v>
      </c>
      <c r="U28" s="174">
        <f>$U$27+2.5*(T28-$T$27)</f>
        <v>1250</v>
      </c>
      <c r="V28" s="147">
        <v>30</v>
      </c>
      <c r="W28" s="172">
        <v>125</v>
      </c>
      <c r="X28" s="345">
        <f t="shared" si="8"/>
        <v>20</v>
      </c>
      <c r="Y28" s="345">
        <f t="shared" si="9"/>
        <v>24</v>
      </c>
      <c r="Z28" s="272">
        <f>'D1.x'!U37</f>
        <v>0.45</v>
      </c>
      <c r="AA28" s="144">
        <f>'D1.x'!H37</f>
        <v>1</v>
      </c>
      <c r="AB28" s="273" t="e">
        <f>'D1.x'!$A$43/60+('D1.x'!$A$34/'D1.x'!P37)*(T28/M28)*(('D1.x'!$A$37+('D1.x'!K37/('D1.x'!$A$34-1)))/'D1.x'!$A$13)</f>
        <v>#DIV/0!</v>
      </c>
      <c r="AC28" s="275" t="e">
        <f t="shared" si="11"/>
        <v>#DIV/0!</v>
      </c>
      <c r="AD28" s="245">
        <f t="shared" si="1"/>
        <v>0</v>
      </c>
      <c r="AE28" s="422">
        <v>0</v>
      </c>
    </row>
    <row r="29" spans="1:31" ht="12.75">
      <c r="A29" s="141">
        <f t="shared" si="2"/>
        <v>101.6</v>
      </c>
      <c r="B29" s="125">
        <f>'D1.x'!E38</f>
        <v>4</v>
      </c>
      <c r="C29" s="99">
        <f>'D1.x'!I38</f>
        <v>3.625</v>
      </c>
      <c r="D29" s="148">
        <f>'D1.x'!P38</f>
        <v>0</v>
      </c>
      <c r="E29" s="122">
        <f>'D1.x'!G38</f>
        <v>3</v>
      </c>
      <c r="F29" s="22">
        <f>'D1.x'!L38</f>
        <v>80.2688679245283</v>
      </c>
      <c r="G29" s="22">
        <f>'D1.x'!M38</f>
        <v>149.07075471698113</v>
      </c>
      <c r="H29" s="114">
        <f>'D1.x'!N38</f>
        <v>0</v>
      </c>
      <c r="I29" s="648">
        <v>1.5</v>
      </c>
      <c r="J29" s="648">
        <v>12</v>
      </c>
      <c r="K29" s="154">
        <f t="shared" si="3"/>
        <v>0</v>
      </c>
      <c r="L29" s="424">
        <f>'D1.x'!Q38</f>
        <v>35</v>
      </c>
      <c r="M29" s="173">
        <v>125</v>
      </c>
      <c r="N29" s="147">
        <f t="shared" si="10"/>
        <v>35</v>
      </c>
      <c r="O29" s="89" t="str">
        <f t="shared" si="7"/>
        <v>0:20</v>
      </c>
      <c r="P29" s="144" t="e">
        <f t="shared" si="4"/>
        <v>#DIV/0!</v>
      </c>
      <c r="Q29" s="144" t="e">
        <f t="shared" si="0"/>
        <v>#DIV/0!</v>
      </c>
      <c r="R29" s="124">
        <f>IF(UPPER('D1.x'!F38)="B",IF('D1.x'!D38='D1.x'!E38,'D1.x'!R38,'D1.x'!R38+'D1.x'!T38),'D1.x'!R38+'D1.x'!T38)</f>
        <v>0</v>
      </c>
      <c r="S29" s="161">
        <f t="shared" si="5"/>
        <v>0</v>
      </c>
      <c r="T29" s="122">
        <f>'D1.x'!V38</f>
        <v>0</v>
      </c>
      <c r="U29" s="174">
        <f>$U$27+2.5*(T29-$T$27)</f>
        <v>1250</v>
      </c>
      <c r="V29" s="147">
        <v>30</v>
      </c>
      <c r="W29" s="172">
        <v>115</v>
      </c>
      <c r="X29" s="345">
        <f t="shared" si="8"/>
        <v>20</v>
      </c>
      <c r="Y29" s="345">
        <f t="shared" si="9"/>
        <v>24</v>
      </c>
      <c r="Z29" s="272">
        <f>'D1.x'!U38</f>
        <v>0.45</v>
      </c>
      <c r="AA29" s="144">
        <f>'D1.x'!H38</f>
        <v>1</v>
      </c>
      <c r="AB29" s="273" t="e">
        <f>'D1.x'!$A$43/60+('D1.x'!$A$34/'D1.x'!P38)*(T29/M29)*(('D1.x'!$A$37+('D1.x'!K38/('D1.x'!$A$34-1)))/'D1.x'!$A$13)</f>
        <v>#DIV/0!</v>
      </c>
      <c r="AC29" s="275" t="e">
        <f t="shared" si="11"/>
        <v>#DIV/0!</v>
      </c>
      <c r="AD29" s="245">
        <f t="shared" si="1"/>
        <v>0</v>
      </c>
      <c r="AE29" s="422">
        <v>0</v>
      </c>
    </row>
    <row r="30" spans="1:31" ht="12.75">
      <c r="A30" s="141">
        <f t="shared" si="2"/>
        <v>104.77499999999999</v>
      </c>
      <c r="B30" s="125">
        <f>'D1.x'!E39</f>
        <v>4.125</v>
      </c>
      <c r="C30" s="99">
        <f>'D1.x'!I39</f>
        <v>3.625</v>
      </c>
      <c r="D30" s="148">
        <f>'D1.x'!P39</f>
        <v>0</v>
      </c>
      <c r="E30" s="122">
        <f>'D1.x'!G39</f>
        <v>3</v>
      </c>
      <c r="F30" s="22">
        <f>'D1.x'!L39</f>
        <v>82.62971698113208</v>
      </c>
      <c r="G30" s="22">
        <f>'D1.x'!M39</f>
        <v>153.45518867924528</v>
      </c>
      <c r="H30" s="114">
        <f>'D1.x'!N39</f>
        <v>0</v>
      </c>
      <c r="I30" s="648">
        <v>1</v>
      </c>
      <c r="J30" s="648">
        <v>12</v>
      </c>
      <c r="K30" s="154">
        <f t="shared" si="3"/>
        <v>0</v>
      </c>
      <c r="L30" s="424">
        <f>'D1.x'!Q39</f>
        <v>35</v>
      </c>
      <c r="M30" s="173">
        <v>130</v>
      </c>
      <c r="N30" s="147">
        <v>39</v>
      </c>
      <c r="O30" s="89" t="str">
        <f t="shared" si="7"/>
        <v>0:20</v>
      </c>
      <c r="P30" s="144" t="e">
        <f t="shared" si="4"/>
        <v>#DIV/0!</v>
      </c>
      <c r="Q30" s="144" t="e">
        <f t="shared" si="0"/>
        <v>#DIV/0!</v>
      </c>
      <c r="R30" s="124">
        <f>IF(UPPER('D1.x'!F39)="B",IF('D1.x'!D39='D1.x'!E39,'D1.x'!R39,'D1.x'!R39+'D1.x'!T39),'D1.x'!R39+'D1.x'!T39)</f>
        <v>0</v>
      </c>
      <c r="S30" s="161">
        <f t="shared" si="5"/>
        <v>0</v>
      </c>
      <c r="T30" s="122">
        <f>'D1.x'!V39</f>
        <v>0</v>
      </c>
      <c r="U30" s="174">
        <f>$U$27+2.5*(T30-$T$27)</f>
        <v>1250</v>
      </c>
      <c r="V30" s="147">
        <v>30</v>
      </c>
      <c r="W30" s="172">
        <v>125</v>
      </c>
      <c r="X30" s="345">
        <f t="shared" si="8"/>
        <v>20</v>
      </c>
      <c r="Y30" s="345">
        <f t="shared" si="9"/>
        <v>24</v>
      </c>
      <c r="Z30" s="272">
        <f>'D1.x'!U39</f>
        <v>0.45</v>
      </c>
      <c r="AA30" s="144">
        <f>'D1.x'!H39</f>
        <v>1</v>
      </c>
      <c r="AB30" s="273" t="e">
        <f>'D1.x'!$A$43/60+('D1.x'!$A$34/'D1.x'!P39)*(T30/M30)*(('D1.x'!$A$37+('D1.x'!K39/('D1.x'!$A$34-1)))/'D1.x'!$A$13)</f>
        <v>#DIV/0!</v>
      </c>
      <c r="AC30" s="275" t="e">
        <f t="shared" si="11"/>
        <v>#DIV/0!</v>
      </c>
      <c r="AD30" s="245">
        <f t="shared" si="1"/>
        <v>0</v>
      </c>
      <c r="AE30" s="422">
        <v>0</v>
      </c>
    </row>
    <row r="31" spans="1:31" ht="12.75">
      <c r="A31" s="141">
        <f t="shared" si="2"/>
        <v>107.94999999999999</v>
      </c>
      <c r="B31" s="125">
        <f>'D1.x'!E40</f>
        <v>4.25</v>
      </c>
      <c r="C31" s="99">
        <f>'D1.x'!I40</f>
        <v>4</v>
      </c>
      <c r="D31" s="148">
        <f>'D1.x'!P40</f>
        <v>0</v>
      </c>
      <c r="E31" s="122">
        <f>'D1.x'!G40</f>
        <v>3</v>
      </c>
      <c r="F31" s="22">
        <f>'D1.x'!L40</f>
        <v>84.99056603773585</v>
      </c>
      <c r="G31" s="22">
        <f>'D1.x'!M40</f>
        <v>157.83962264150944</v>
      </c>
      <c r="H31" s="114">
        <f>'D1.x'!N40</f>
        <v>0</v>
      </c>
      <c r="I31" s="648">
        <v>1</v>
      </c>
      <c r="J31" s="648">
        <v>12</v>
      </c>
      <c r="K31" s="154">
        <f t="shared" si="3"/>
        <v>0</v>
      </c>
      <c r="L31" s="424">
        <f>'D1.x'!Q40</f>
        <v>35</v>
      </c>
      <c r="M31" s="173">
        <v>130</v>
      </c>
      <c r="N31" s="147">
        <v>39</v>
      </c>
      <c r="O31" s="89" t="str">
        <f t="shared" si="7"/>
        <v>0:20</v>
      </c>
      <c r="P31" s="144" t="e">
        <f t="shared" si="4"/>
        <v>#DIV/0!</v>
      </c>
      <c r="Q31" s="144" t="e">
        <f t="shared" si="0"/>
        <v>#DIV/0!</v>
      </c>
      <c r="R31" s="124">
        <f>IF(UPPER('D1.x'!F40)="B",IF('D1.x'!D40='D1.x'!E40,'D1.x'!R40,'D1.x'!R40+'D1.x'!T40),'D1.x'!R40+'D1.x'!T40)</f>
        <v>0</v>
      </c>
      <c r="S31" s="161">
        <f t="shared" si="5"/>
        <v>0</v>
      </c>
      <c r="T31" s="122">
        <f>'D1.x'!V40</f>
        <v>0</v>
      </c>
      <c r="U31" s="173">
        <v>1350</v>
      </c>
      <c r="V31" s="147">
        <v>30</v>
      </c>
      <c r="W31" s="172">
        <v>125</v>
      </c>
      <c r="X31" s="345">
        <f t="shared" si="8"/>
        <v>20</v>
      </c>
      <c r="Y31" s="345">
        <f t="shared" si="9"/>
        <v>24</v>
      </c>
      <c r="Z31" s="272">
        <f>'D1.x'!U40</f>
        <v>0.45</v>
      </c>
      <c r="AA31" s="144">
        <f>'D1.x'!H40</f>
        <v>1</v>
      </c>
      <c r="AB31" s="273" t="e">
        <f>'D1.x'!$A$43/60+('D1.x'!$A$34/'D1.x'!P40)*(T31/M31)*(('D1.x'!$A$37+('D1.x'!K40/('D1.x'!$A$34-1)))/'D1.x'!$A$13)</f>
        <v>#DIV/0!</v>
      </c>
      <c r="AC31" s="275" t="e">
        <f t="shared" si="11"/>
        <v>#DIV/0!</v>
      </c>
      <c r="AD31" s="245">
        <f t="shared" si="1"/>
        <v>0</v>
      </c>
      <c r="AE31" s="422">
        <v>0</v>
      </c>
    </row>
    <row r="32" spans="1:31" ht="12.75">
      <c r="A32" s="141">
        <f t="shared" si="2"/>
        <v>111.125</v>
      </c>
      <c r="B32" s="125">
        <f>'D1.x'!E41</f>
        <v>4.375</v>
      </c>
      <c r="C32" s="99">
        <f>'D1.x'!I41</f>
        <v>4</v>
      </c>
      <c r="D32" s="148">
        <f>'D1.x'!P41</f>
        <v>0</v>
      </c>
      <c r="E32" s="122">
        <f>'D1.x'!G41</f>
        <v>3</v>
      </c>
      <c r="F32" s="22">
        <f>'D1.x'!L41</f>
        <v>87.35141509433961</v>
      </c>
      <c r="G32" s="22">
        <f>'D1.x'!M41</f>
        <v>162.2240566037736</v>
      </c>
      <c r="H32" s="114">
        <f>'D1.x'!N41</f>
        <v>0</v>
      </c>
      <c r="I32" s="648">
        <v>1</v>
      </c>
      <c r="J32" s="648">
        <v>12</v>
      </c>
      <c r="K32" s="154">
        <f t="shared" si="3"/>
        <v>0</v>
      </c>
      <c r="L32" s="424">
        <f>'D1.x'!Q41</f>
        <v>35</v>
      </c>
      <c r="M32" s="173">
        <v>125</v>
      </c>
      <c r="N32" s="147">
        <v>39</v>
      </c>
      <c r="O32" s="89" t="str">
        <f t="shared" si="7"/>
        <v>0:20</v>
      </c>
      <c r="P32" s="144" t="e">
        <f t="shared" si="4"/>
        <v>#DIV/0!</v>
      </c>
      <c r="Q32" s="144" t="e">
        <f t="shared" si="0"/>
        <v>#DIV/0!</v>
      </c>
      <c r="R32" s="124">
        <f>IF(UPPER('D1.x'!F41)="B",IF('D1.x'!D41='D1.x'!E41,'D1.x'!R41,'D1.x'!R41+'D1.x'!T41),'D1.x'!R41+'D1.x'!T41)</f>
        <v>0</v>
      </c>
      <c r="S32" s="161">
        <f t="shared" si="5"/>
        <v>0</v>
      </c>
      <c r="T32" s="122">
        <f>'D1.x'!V41</f>
        <v>0</v>
      </c>
      <c r="U32" s="174">
        <f>$U$31+3*(T32-$T$31)</f>
        <v>1350</v>
      </c>
      <c r="V32" s="147">
        <v>30</v>
      </c>
      <c r="W32" s="172">
        <v>125</v>
      </c>
      <c r="X32" s="345">
        <f t="shared" si="8"/>
        <v>20</v>
      </c>
      <c r="Y32" s="345">
        <f t="shared" si="9"/>
        <v>24</v>
      </c>
      <c r="Z32" s="272">
        <f>'D1.x'!U41</f>
        <v>0.45</v>
      </c>
      <c r="AA32" s="144">
        <f>'D1.x'!H41</f>
        <v>1</v>
      </c>
      <c r="AB32" s="273" t="e">
        <f>'D1.x'!$A$43/60+('D1.x'!$A$34/'D1.x'!P41)*(T32/M32)*(('D1.x'!$A$37+('D1.x'!K41/('D1.x'!$A$34-1)))/'D1.x'!$A$13)</f>
        <v>#DIV/0!</v>
      </c>
      <c r="AC32" s="275" t="e">
        <f t="shared" si="11"/>
        <v>#DIV/0!</v>
      </c>
      <c r="AD32" s="245">
        <f t="shared" si="1"/>
        <v>0</v>
      </c>
      <c r="AE32" s="422">
        <v>0</v>
      </c>
    </row>
    <row r="33" spans="1:31" ht="12.75">
      <c r="A33" s="141">
        <f t="shared" si="2"/>
        <v>114.3</v>
      </c>
      <c r="B33" s="125">
        <f>'D1.x'!E42</f>
        <v>4.5</v>
      </c>
      <c r="C33" s="99">
        <f>'D1.x'!I42</f>
        <v>4</v>
      </c>
      <c r="D33" s="148">
        <f>'D1.x'!P42</f>
        <v>0</v>
      </c>
      <c r="E33" s="122">
        <f>'D1.x'!G42</f>
        <v>3</v>
      </c>
      <c r="F33" s="22">
        <f>'D1.x'!L42</f>
        <v>89.71226415094338</v>
      </c>
      <c r="G33" s="22">
        <f>'D1.x'!M42</f>
        <v>166.60849056603774</v>
      </c>
      <c r="H33" s="114">
        <f>'D1.x'!N42</f>
        <v>0</v>
      </c>
      <c r="I33" s="648">
        <v>1</v>
      </c>
      <c r="J33" s="648">
        <v>12</v>
      </c>
      <c r="K33" s="154">
        <f t="shared" si="3"/>
        <v>0</v>
      </c>
      <c r="L33" s="424">
        <f>'D1.x'!Q42</f>
        <v>35</v>
      </c>
      <c r="M33" s="173">
        <v>120</v>
      </c>
      <c r="N33" s="147">
        <v>39</v>
      </c>
      <c r="O33" s="89" t="str">
        <f t="shared" si="7"/>
        <v>0:20</v>
      </c>
      <c r="P33" s="144" t="e">
        <f t="shared" si="4"/>
        <v>#DIV/0!</v>
      </c>
      <c r="Q33" s="144" t="e">
        <f t="shared" si="0"/>
        <v>#DIV/0!</v>
      </c>
      <c r="R33" s="124">
        <f>IF(UPPER('D1.x'!F42)="B",IF('D1.x'!D42='D1.x'!E42,'D1.x'!R42,'D1.x'!R42+'D1.x'!T42),'D1.x'!R42+'D1.x'!T42)</f>
        <v>0</v>
      </c>
      <c r="S33" s="161">
        <f t="shared" si="5"/>
        <v>0</v>
      </c>
      <c r="T33" s="122">
        <f>'D1.x'!V42</f>
        <v>0</v>
      </c>
      <c r="U33" s="174">
        <f>$U$31+3*(T33-$T$31)</f>
        <v>1350</v>
      </c>
      <c r="V33" s="147">
        <v>30</v>
      </c>
      <c r="W33" s="172">
        <v>120</v>
      </c>
      <c r="X33" s="345">
        <f t="shared" si="8"/>
        <v>20</v>
      </c>
      <c r="Y33" s="345">
        <f t="shared" si="9"/>
        <v>24</v>
      </c>
      <c r="Z33" s="272">
        <f>'D1.x'!U42</f>
        <v>0.6</v>
      </c>
      <c r="AA33" s="144">
        <f>'D1.x'!H42</f>
        <v>1</v>
      </c>
      <c r="AB33" s="273" t="e">
        <f>'D1.x'!$A$43/60+('D1.x'!$A$34/'D1.x'!P42)*(T33/M33)*(('D1.x'!$A$37+('D1.x'!K42/('D1.x'!$A$34-1)))/'D1.x'!$A$13)</f>
        <v>#DIV/0!</v>
      </c>
      <c r="AC33" s="275" t="e">
        <f t="shared" si="11"/>
        <v>#DIV/0!</v>
      </c>
      <c r="AD33" s="245">
        <f t="shared" si="1"/>
        <v>0</v>
      </c>
      <c r="AE33" s="422">
        <v>0</v>
      </c>
    </row>
    <row r="34" spans="1:31" ht="12.75">
      <c r="A34" s="141">
        <f t="shared" si="2"/>
        <v>117.475</v>
      </c>
      <c r="B34" s="125">
        <f>'D1.x'!E43</f>
        <v>4.625</v>
      </c>
      <c r="C34" s="99">
        <f>'D1.x'!I43</f>
        <v>4</v>
      </c>
      <c r="D34" s="148">
        <f>'D1.x'!P43</f>
        <v>0</v>
      </c>
      <c r="E34" s="122">
        <f>'D1.x'!G43</f>
        <v>3</v>
      </c>
      <c r="F34" s="22">
        <f>'D1.x'!L43</f>
        <v>92.07311320754717</v>
      </c>
      <c r="G34" s="22">
        <f>'D1.x'!M43</f>
        <v>170.9929245283019</v>
      </c>
      <c r="H34" s="114">
        <f>'D1.x'!N43</f>
        <v>0</v>
      </c>
      <c r="I34" s="648">
        <v>1</v>
      </c>
      <c r="J34" s="648">
        <v>12</v>
      </c>
      <c r="K34" s="154">
        <f t="shared" si="3"/>
        <v>0.305</v>
      </c>
      <c r="L34" s="424">
        <f>'D1.x'!Q43</f>
        <v>35</v>
      </c>
      <c r="M34" s="173">
        <v>120</v>
      </c>
      <c r="N34" s="147">
        <v>39</v>
      </c>
      <c r="O34" s="89" t="str">
        <f t="shared" si="7"/>
        <v>0:20</v>
      </c>
      <c r="P34" s="144" t="e">
        <f t="shared" si="4"/>
        <v>#DIV/0!</v>
      </c>
      <c r="Q34" s="144" t="e">
        <f t="shared" si="0"/>
        <v>#DIV/0!</v>
      </c>
      <c r="R34" s="124">
        <f>IF(UPPER('D1.x'!F43)="B",IF('D1.x'!D43='D1.x'!E43,'D1.x'!R43,'D1.x'!R43+'D1.x'!T43),'D1.x'!R43+'D1.x'!T43)</f>
        <v>0</v>
      </c>
      <c r="S34" s="161">
        <f t="shared" si="5"/>
        <v>2</v>
      </c>
      <c r="T34" s="122">
        <f>'D1.x'!V43</f>
        <v>0</v>
      </c>
      <c r="U34" s="174">
        <f>$U$31+3*(T34-$T$31)</f>
        <v>1350</v>
      </c>
      <c r="V34" s="147">
        <v>30</v>
      </c>
      <c r="W34" s="172">
        <v>120</v>
      </c>
      <c r="X34" s="345">
        <f t="shared" si="8"/>
        <v>20</v>
      </c>
      <c r="Y34" s="345">
        <f t="shared" si="9"/>
        <v>24</v>
      </c>
      <c r="Z34" s="272">
        <f>'D1.x'!U43</f>
        <v>0.6</v>
      </c>
      <c r="AA34" s="144">
        <f>'D1.x'!H43</f>
        <v>1</v>
      </c>
      <c r="AB34" s="273" t="e">
        <f>'D1.x'!$A$43/60+('D1.x'!$A$34/'D1.x'!P43)*(T34/M34)*(('D1.x'!$A$37+('D1.x'!K43/('D1.x'!$A$34-1)))/'D1.x'!$A$13)</f>
        <v>#DIV/0!</v>
      </c>
      <c r="AC34" s="275" t="e">
        <f t="shared" si="11"/>
        <v>#DIV/0!</v>
      </c>
      <c r="AD34" s="245">
        <f t="shared" si="1"/>
        <v>0</v>
      </c>
      <c r="AE34" s="422">
        <v>0</v>
      </c>
    </row>
    <row r="35" spans="1:31" ht="12.75">
      <c r="A35" s="141">
        <f aca="true" t="shared" si="12" ref="A35:A42">B35*25.4</f>
        <v>120.64999999999999</v>
      </c>
      <c r="B35" s="125">
        <f>'D1.x'!E44</f>
        <v>4.75</v>
      </c>
      <c r="C35" s="99">
        <f>'D1.x'!I44</f>
        <v>4</v>
      </c>
      <c r="D35" s="148">
        <f>'D1.x'!P44</f>
        <v>0</v>
      </c>
      <c r="E35" s="122">
        <f>'D1.x'!G44</f>
        <v>3</v>
      </c>
      <c r="F35" s="22">
        <f>'D1.x'!L44</f>
        <v>94.43396226415094</v>
      </c>
      <c r="G35" s="22">
        <f>'D1.x'!M44</f>
        <v>175.37735849056605</v>
      </c>
      <c r="H35" s="114">
        <f>'D1.x'!N44</f>
        <v>0</v>
      </c>
      <c r="I35" s="648">
        <v>1</v>
      </c>
      <c r="J35" s="648">
        <v>12</v>
      </c>
      <c r="K35" s="154">
        <f t="shared" si="3"/>
        <v>0.43</v>
      </c>
      <c r="L35" s="424">
        <f>'D1.x'!Q44</f>
        <v>35</v>
      </c>
      <c r="M35" s="173">
        <v>115</v>
      </c>
      <c r="N35" s="147">
        <v>39</v>
      </c>
      <c r="O35" s="89" t="str">
        <f aca="true" t="shared" si="13" ref="O35:O42">O34</f>
        <v>0:20</v>
      </c>
      <c r="P35" s="144" t="e">
        <f aca="true" t="shared" si="14" ref="P35:P42">ROUNDDOWN(AB35,0)</f>
        <v>#DIV/0!</v>
      </c>
      <c r="Q35" s="144" t="e">
        <f t="shared" si="0"/>
        <v>#DIV/0!</v>
      </c>
      <c r="R35" s="124">
        <f>IF(UPPER('D1.x'!F44)="B",IF('D1.x'!D44='D1.x'!E44,'D1.x'!R44,'D1.x'!R44+'D1.x'!T44),'D1.x'!R44+'D1.x'!T44)</f>
        <v>0</v>
      </c>
      <c r="S35" s="161">
        <f aca="true" t="shared" si="15" ref="S35:S42">IF(K35=0,R35,R35+2)</f>
        <v>2</v>
      </c>
      <c r="T35" s="122">
        <f>'D1.x'!V44</f>
        <v>0</v>
      </c>
      <c r="U35" s="174">
        <f>$U$31+4*(T35-$T$31)</f>
        <v>1350</v>
      </c>
      <c r="V35" s="147">
        <v>30</v>
      </c>
      <c r="W35" s="172">
        <v>115</v>
      </c>
      <c r="X35" s="345">
        <f t="shared" si="8"/>
        <v>20</v>
      </c>
      <c r="Y35" s="345">
        <f t="shared" si="9"/>
        <v>24</v>
      </c>
      <c r="Z35" s="272">
        <f>'D1.x'!U44</f>
        <v>0.66</v>
      </c>
      <c r="AA35" s="144">
        <f>'D1.x'!H44</f>
        <v>1</v>
      </c>
      <c r="AB35" s="273" t="e">
        <f>'D1.x'!$A$43/60+('D1.x'!$A$34/'D1.x'!P44)*(T35/M35)*(('D1.x'!$A$37+('D1.x'!K44/('D1.x'!$A$34-1)))/'D1.x'!$A$13)</f>
        <v>#DIV/0!</v>
      </c>
      <c r="AC35" s="275" t="e">
        <f aca="true" t="shared" si="16" ref="AC35:AC42">M35/T35</f>
        <v>#DIV/0!</v>
      </c>
      <c r="AD35" s="245">
        <f aca="true" t="shared" si="17" ref="AD35:AD42">T35*$AD$1</f>
        <v>0</v>
      </c>
      <c r="AE35" s="422">
        <v>0</v>
      </c>
    </row>
    <row r="36" spans="1:31" ht="12.75">
      <c r="A36" s="141">
        <f t="shared" si="12"/>
        <v>123.82499999999999</v>
      </c>
      <c r="B36" s="125">
        <f>'D1.x'!E45</f>
        <v>4.875</v>
      </c>
      <c r="C36" s="99">
        <f>'D1.x'!I45</f>
        <v>4.625</v>
      </c>
      <c r="D36" s="148">
        <f>'D1.x'!P45</f>
        <v>0</v>
      </c>
      <c r="E36" s="122">
        <f>'D1.x'!G45</f>
        <v>3</v>
      </c>
      <c r="F36" s="22">
        <f>'D1.x'!L45</f>
        <v>96.79481132075472</v>
      </c>
      <c r="G36" s="22">
        <f>'D1.x'!M45</f>
        <v>179.7617924528302</v>
      </c>
      <c r="H36" s="114">
        <f>'D1.x'!N45</f>
        <v>0</v>
      </c>
      <c r="I36" s="648">
        <v>1</v>
      </c>
      <c r="J36" s="648">
        <v>12</v>
      </c>
      <c r="K36" s="154">
        <f t="shared" si="3"/>
        <v>0</v>
      </c>
      <c r="L36" s="424">
        <f>'D1.x'!Q45</f>
        <v>35</v>
      </c>
      <c r="M36" s="173">
        <f>IF(AD36&lt;150,IF(AD36&lt;110,110,AD36),150)</f>
        <v>110</v>
      </c>
      <c r="N36" s="147">
        <v>39</v>
      </c>
      <c r="O36" s="89" t="str">
        <f t="shared" si="13"/>
        <v>0:20</v>
      </c>
      <c r="P36" s="144" t="e">
        <f t="shared" si="14"/>
        <v>#DIV/0!</v>
      </c>
      <c r="Q36" s="144" t="e">
        <f t="shared" si="0"/>
        <v>#DIV/0!</v>
      </c>
      <c r="R36" s="124">
        <f>IF(UPPER('D1.x'!F45)="B",IF('D1.x'!D45='D1.x'!E45,'D1.x'!R45,'D1.x'!R45+'D1.x'!T45),'D1.x'!R45+'D1.x'!T45)</f>
        <v>0</v>
      </c>
      <c r="S36" s="161">
        <f t="shared" si="15"/>
        <v>0</v>
      </c>
      <c r="T36" s="122">
        <f>'D1.x'!V45</f>
        <v>0</v>
      </c>
      <c r="U36" s="174">
        <f aca="true" t="shared" si="18" ref="U36:U45">$U$31+4*(T36-$T$31)</f>
        <v>1350</v>
      </c>
      <c r="V36" s="147">
        <v>30</v>
      </c>
      <c r="W36" s="172">
        <v>110</v>
      </c>
      <c r="X36" s="345">
        <f t="shared" si="8"/>
        <v>20</v>
      </c>
      <c r="Y36" s="345">
        <f t="shared" si="9"/>
        <v>24</v>
      </c>
      <c r="Z36" s="272">
        <f>'D1.x'!U45</f>
        <v>0.75</v>
      </c>
      <c r="AA36" s="144">
        <f>'D1.x'!H45</f>
        <v>1</v>
      </c>
      <c r="AB36" s="273" t="e">
        <f>'D1.x'!$A$43/60+('D1.x'!$A$34/'D1.x'!P45)*(T36/M36)*(('D1.x'!$A$37+('D1.x'!K45/('D1.x'!$A$34-1)))/'D1.x'!$A$13)</f>
        <v>#DIV/0!</v>
      </c>
      <c r="AC36" s="275" t="e">
        <f t="shared" si="16"/>
        <v>#DIV/0!</v>
      </c>
      <c r="AD36" s="245">
        <f t="shared" si="17"/>
        <v>0</v>
      </c>
      <c r="AE36" s="422">
        <v>0</v>
      </c>
    </row>
    <row r="37" spans="1:31" ht="12.75">
      <c r="A37" s="141">
        <f t="shared" si="12"/>
        <v>127</v>
      </c>
      <c r="B37" s="125">
        <f>'D1.x'!E46</f>
        <v>5</v>
      </c>
      <c r="C37" s="99">
        <f>'D1.x'!I46</f>
        <v>4.625</v>
      </c>
      <c r="D37" s="148">
        <f>'D1.x'!P46</f>
        <v>0</v>
      </c>
      <c r="E37" s="122">
        <f>'D1.x'!G46</f>
        <v>3</v>
      </c>
      <c r="F37" s="22">
        <f>'D1.x'!L46</f>
        <v>99.15566037735849</v>
      </c>
      <c r="G37" s="22">
        <f>'D1.x'!M46</f>
        <v>184.14622641509433</v>
      </c>
      <c r="H37" s="114">
        <f>'D1.x'!N46</f>
        <v>0</v>
      </c>
      <c r="I37" s="648">
        <v>1</v>
      </c>
      <c r="J37" s="648">
        <v>12</v>
      </c>
      <c r="K37" s="154">
        <f t="shared" si="3"/>
        <v>0</v>
      </c>
      <c r="L37" s="424">
        <f>'D1.x'!Q46</f>
        <v>35</v>
      </c>
      <c r="M37" s="173">
        <v>110</v>
      </c>
      <c r="N37" s="147">
        <v>39</v>
      </c>
      <c r="O37" s="89" t="str">
        <f t="shared" si="13"/>
        <v>0:20</v>
      </c>
      <c r="P37" s="144" t="e">
        <f t="shared" si="14"/>
        <v>#DIV/0!</v>
      </c>
      <c r="Q37" s="144" t="e">
        <f t="shared" si="0"/>
        <v>#DIV/0!</v>
      </c>
      <c r="R37" s="124">
        <f>IF(UPPER('D1.x'!F46)="B",IF('D1.x'!D46='D1.x'!E46,'D1.x'!R46,'D1.x'!R46+'D1.x'!T46),'D1.x'!R46+'D1.x'!T46)</f>
        <v>0</v>
      </c>
      <c r="S37" s="161">
        <f t="shared" si="15"/>
        <v>0</v>
      </c>
      <c r="T37" s="122">
        <f>'D1.x'!V46</f>
        <v>0</v>
      </c>
      <c r="U37" s="174">
        <f t="shared" si="18"/>
        <v>1350</v>
      </c>
      <c r="V37" s="147">
        <v>30</v>
      </c>
      <c r="W37" s="172">
        <v>105</v>
      </c>
      <c r="X37" s="345">
        <f t="shared" si="8"/>
        <v>20</v>
      </c>
      <c r="Y37" s="345">
        <f t="shared" si="9"/>
        <v>24</v>
      </c>
      <c r="Z37" s="272">
        <f>'D1.x'!U46</f>
        <v>0.75</v>
      </c>
      <c r="AA37" s="144">
        <f>'D1.x'!H46</f>
        <v>1</v>
      </c>
      <c r="AB37" s="273" t="e">
        <f>'D1.x'!$A$43/60+('D1.x'!$A$34/'D1.x'!P46)*(T37/M37)*(('D1.x'!$A$37+('D1.x'!K46/('D1.x'!$A$34-1)))/'D1.x'!$A$13)</f>
        <v>#DIV/0!</v>
      </c>
      <c r="AC37" s="275" t="e">
        <f t="shared" si="16"/>
        <v>#DIV/0!</v>
      </c>
      <c r="AD37" s="245">
        <f t="shared" si="17"/>
        <v>0</v>
      </c>
      <c r="AE37" s="422">
        <v>0</v>
      </c>
    </row>
    <row r="38" spans="1:31" ht="12.75">
      <c r="A38" s="141">
        <f t="shared" si="12"/>
        <v>130.17499999999998</v>
      </c>
      <c r="B38" s="125">
        <f>'D1.x'!E47</f>
        <v>5.125</v>
      </c>
      <c r="C38" s="99">
        <f>'D1.x'!I47</f>
        <v>4.625</v>
      </c>
      <c r="D38" s="148">
        <f>'D1.x'!P47</f>
        <v>0</v>
      </c>
      <c r="E38" s="122">
        <f>'D1.x'!G47</f>
        <v>3</v>
      </c>
      <c r="F38" s="22">
        <f>'D1.x'!L47</f>
        <v>101.51650943396227</v>
      </c>
      <c r="G38" s="22">
        <f>'D1.x'!M47</f>
        <v>188.53066037735852</v>
      </c>
      <c r="H38" s="114">
        <f>'D1.x'!N47</f>
        <v>0</v>
      </c>
      <c r="I38" s="648">
        <v>1</v>
      </c>
      <c r="J38" s="648">
        <v>12</v>
      </c>
      <c r="K38" s="154">
        <f t="shared" si="3"/>
        <v>0</v>
      </c>
      <c r="L38" s="424">
        <f>'D1.x'!Q47</f>
        <v>35</v>
      </c>
      <c r="M38" s="173">
        <v>100</v>
      </c>
      <c r="N38" s="147"/>
      <c r="O38" s="89" t="str">
        <f t="shared" si="13"/>
        <v>0:20</v>
      </c>
      <c r="P38" s="144" t="e">
        <f t="shared" si="14"/>
        <v>#DIV/0!</v>
      </c>
      <c r="Q38" s="144" t="e">
        <f t="shared" si="0"/>
        <v>#DIV/0!</v>
      </c>
      <c r="R38" s="124">
        <f>IF(UPPER('D1.x'!F47)="B",IF('D1.x'!D47='D1.x'!E47,'D1.x'!R47,'D1.x'!R47+'D1.x'!T47),'D1.x'!R47+'D1.x'!T47)</f>
        <v>0</v>
      </c>
      <c r="S38" s="161">
        <f t="shared" si="15"/>
        <v>0</v>
      </c>
      <c r="T38" s="122">
        <f>'D1.x'!V47</f>
        <v>0</v>
      </c>
      <c r="U38" s="174">
        <f t="shared" si="18"/>
        <v>1350</v>
      </c>
      <c r="V38" s="147">
        <v>30</v>
      </c>
      <c r="W38" s="172">
        <v>100</v>
      </c>
      <c r="X38" s="345">
        <f t="shared" si="8"/>
        <v>20</v>
      </c>
      <c r="Y38" s="345">
        <f t="shared" si="9"/>
        <v>24</v>
      </c>
      <c r="Z38" s="272">
        <f>'D1.x'!U47</f>
        <v>0.75</v>
      </c>
      <c r="AA38" s="144">
        <f>'D1.x'!H47</f>
        <v>1</v>
      </c>
      <c r="AB38" s="273" t="e">
        <f>'D1.x'!$A$43/60+('D1.x'!$A$34/'D1.x'!P47)*(T38/M38)*(('D1.x'!$A$37+('D1.x'!K47/('D1.x'!$A$34-1)))/'D1.x'!$A$13)</f>
        <v>#DIV/0!</v>
      </c>
      <c r="AC38" s="275" t="e">
        <f t="shared" si="16"/>
        <v>#DIV/0!</v>
      </c>
      <c r="AD38" s="245">
        <f t="shared" si="17"/>
        <v>0</v>
      </c>
      <c r="AE38" s="422">
        <v>0</v>
      </c>
    </row>
    <row r="39" spans="1:31" ht="12.75">
      <c r="A39" s="141">
        <f t="shared" si="12"/>
        <v>133.35</v>
      </c>
      <c r="B39" s="125">
        <f>'D1.x'!E48</f>
        <v>5.25</v>
      </c>
      <c r="C39" s="99">
        <f>'D1.x'!I48</f>
        <v>4.625</v>
      </c>
      <c r="D39" s="148">
        <f>'D1.x'!P48</f>
        <v>0</v>
      </c>
      <c r="E39" s="122">
        <f>'D1.x'!G48</f>
        <v>3</v>
      </c>
      <c r="F39" s="22">
        <f>'D1.x'!L48</f>
        <v>103.87735849056602</v>
      </c>
      <c r="G39" s="22">
        <f>'D1.x'!M48</f>
        <v>192.91509433962264</v>
      </c>
      <c r="H39" s="114">
        <f>'D1.x'!N48</f>
        <v>0</v>
      </c>
      <c r="I39" s="648">
        <v>1</v>
      </c>
      <c r="J39" s="648">
        <v>12</v>
      </c>
      <c r="K39" s="154">
        <f t="shared" si="3"/>
        <v>0.305</v>
      </c>
      <c r="L39" s="424">
        <f>'D1.x'!Q48</f>
        <v>35</v>
      </c>
      <c r="M39" s="173">
        <v>105</v>
      </c>
      <c r="N39" s="147"/>
      <c r="O39" s="89" t="str">
        <f t="shared" si="13"/>
        <v>0:20</v>
      </c>
      <c r="P39" s="144" t="e">
        <f t="shared" si="14"/>
        <v>#DIV/0!</v>
      </c>
      <c r="Q39" s="144" t="e">
        <f t="shared" si="0"/>
        <v>#DIV/0!</v>
      </c>
      <c r="R39" s="124">
        <f>IF(UPPER('D1.x'!F48)="B",IF('D1.x'!D48='D1.x'!E48,'D1.x'!R48,'D1.x'!R48+'D1.x'!T48),'D1.x'!R48+'D1.x'!T48)</f>
        <v>0</v>
      </c>
      <c r="S39" s="161">
        <f t="shared" si="15"/>
        <v>2</v>
      </c>
      <c r="T39" s="122">
        <f>'D1.x'!V48</f>
        <v>0</v>
      </c>
      <c r="U39" s="174">
        <f t="shared" si="18"/>
        <v>1350</v>
      </c>
      <c r="V39" s="147">
        <v>30</v>
      </c>
      <c r="W39" s="172">
        <v>100</v>
      </c>
      <c r="X39" s="345">
        <f t="shared" si="8"/>
        <v>20</v>
      </c>
      <c r="Y39" s="345">
        <f t="shared" si="9"/>
        <v>24</v>
      </c>
      <c r="Z39" s="272">
        <f>'D1.x'!U48</f>
        <v>0.75</v>
      </c>
      <c r="AA39" s="144">
        <f>'D1.x'!H48</f>
        <v>1</v>
      </c>
      <c r="AB39" s="273" t="e">
        <f>'D1.x'!$A$43/60+('D1.x'!$A$34/'D1.x'!P48)*(T39/M39)*(('D1.x'!$A$37+('D1.x'!K48/('D1.x'!$A$34-1)))/'D1.x'!$A$13)</f>
        <v>#DIV/0!</v>
      </c>
      <c r="AC39" s="275" t="e">
        <f t="shared" si="16"/>
        <v>#DIV/0!</v>
      </c>
      <c r="AD39" s="245">
        <f t="shared" si="17"/>
        <v>0</v>
      </c>
      <c r="AE39" s="422">
        <v>0</v>
      </c>
    </row>
    <row r="40" spans="1:31" ht="12.75">
      <c r="A40" s="141">
        <f t="shared" si="12"/>
        <v>136.525</v>
      </c>
      <c r="B40" s="125">
        <f>'D1.x'!E49</f>
        <v>5.375</v>
      </c>
      <c r="C40" s="99">
        <f>'D1.x'!I49</f>
        <v>4.625</v>
      </c>
      <c r="D40" s="148">
        <f>'D1.x'!P49</f>
        <v>0</v>
      </c>
      <c r="E40" s="122">
        <f>'D1.x'!G49</f>
        <v>3</v>
      </c>
      <c r="F40" s="22">
        <f>'D1.x'!L49</f>
        <v>106.23820754716981</v>
      </c>
      <c r="G40" s="22">
        <f>'D1.x'!M49</f>
        <v>197.2995283018868</v>
      </c>
      <c r="H40" s="114">
        <f>'D1.x'!N49</f>
        <v>0</v>
      </c>
      <c r="I40" s="648">
        <v>1</v>
      </c>
      <c r="J40" s="648">
        <v>12</v>
      </c>
      <c r="K40" s="154">
        <f t="shared" si="3"/>
        <v>0.43</v>
      </c>
      <c r="L40" s="424">
        <f>'D1.x'!Q49</f>
        <v>35</v>
      </c>
      <c r="M40" s="173">
        <v>100</v>
      </c>
      <c r="N40" s="147"/>
      <c r="O40" s="89" t="str">
        <f t="shared" si="13"/>
        <v>0:20</v>
      </c>
      <c r="P40" s="144" t="e">
        <f t="shared" si="14"/>
        <v>#DIV/0!</v>
      </c>
      <c r="Q40" s="144" t="e">
        <f t="shared" si="0"/>
        <v>#DIV/0!</v>
      </c>
      <c r="R40" s="124">
        <f>IF(UPPER('D1.x'!F49)="B",IF('D1.x'!D49='D1.x'!E49,'D1.x'!R49,'D1.x'!R49+'D1.x'!T49),'D1.x'!R49+'D1.x'!T49)</f>
        <v>0</v>
      </c>
      <c r="S40" s="161">
        <f t="shared" si="15"/>
        <v>2</v>
      </c>
      <c r="T40" s="122">
        <f>'D1.x'!V49</f>
        <v>0</v>
      </c>
      <c r="U40" s="174">
        <f t="shared" si="18"/>
        <v>1350</v>
      </c>
      <c r="V40" s="147">
        <v>30</v>
      </c>
      <c r="W40" s="172">
        <v>100</v>
      </c>
      <c r="X40" s="345">
        <f t="shared" si="8"/>
        <v>20</v>
      </c>
      <c r="Y40" s="345">
        <f t="shared" si="9"/>
        <v>24</v>
      </c>
      <c r="Z40" s="272">
        <f>'D1.x'!U49</f>
        <v>0.75</v>
      </c>
      <c r="AA40" s="144">
        <f>'D1.x'!H49</f>
        <v>1</v>
      </c>
      <c r="AB40" s="273" t="e">
        <f>'D1.x'!$A$43/60+('D1.x'!$A$34/'D1.x'!P49)*(T40/M40)*(('D1.x'!$A$37+('D1.x'!K49/('D1.x'!$A$34-1)))/'D1.x'!$A$13)</f>
        <v>#DIV/0!</v>
      </c>
      <c r="AC40" s="275" t="e">
        <f t="shared" si="16"/>
        <v>#DIV/0!</v>
      </c>
      <c r="AD40" s="245">
        <f t="shared" si="17"/>
        <v>0</v>
      </c>
      <c r="AE40" s="422">
        <v>0</v>
      </c>
    </row>
    <row r="41" spans="1:36" ht="12.75">
      <c r="A41" s="141">
        <f t="shared" si="12"/>
        <v>139.7</v>
      </c>
      <c r="B41" s="125">
        <f>'D1.x'!E50</f>
        <v>5.5</v>
      </c>
      <c r="C41" s="99">
        <f>'D1.x'!I50</f>
        <v>4.625</v>
      </c>
      <c r="D41" s="148">
        <f>'D1.x'!P50</f>
        <v>0</v>
      </c>
      <c r="E41" s="122">
        <f>'D1.x'!G50</f>
        <v>3</v>
      </c>
      <c r="F41" s="22">
        <f>'D1.x'!L50</f>
        <v>108.59905660377358</v>
      </c>
      <c r="G41" s="22">
        <f>'D1.x'!M50</f>
        <v>201.68396226415095</v>
      </c>
      <c r="H41" s="114">
        <f>'D1.x'!N50</f>
        <v>0</v>
      </c>
      <c r="I41" s="648">
        <v>1</v>
      </c>
      <c r="J41" s="648">
        <v>12</v>
      </c>
      <c r="K41" s="154">
        <f t="shared" si="3"/>
        <v>0.5549999999999999</v>
      </c>
      <c r="L41" s="424">
        <f>'D1.x'!Q50</f>
        <v>35</v>
      </c>
      <c r="M41" s="173">
        <v>100</v>
      </c>
      <c r="N41" s="147"/>
      <c r="O41" s="89" t="str">
        <f t="shared" si="13"/>
        <v>0:20</v>
      </c>
      <c r="P41" s="144" t="e">
        <f t="shared" si="14"/>
        <v>#DIV/0!</v>
      </c>
      <c r="Q41" s="144" t="e">
        <f t="shared" si="0"/>
        <v>#DIV/0!</v>
      </c>
      <c r="R41" s="124">
        <f>IF(UPPER('D1.x'!F50)="B",IF('D1.x'!D50='D1.x'!E50,'D1.x'!R50,'D1.x'!R50+'D1.x'!T50),'D1.x'!R50+'D1.x'!T50)</f>
        <v>0</v>
      </c>
      <c r="S41" s="161">
        <f t="shared" si="15"/>
        <v>2</v>
      </c>
      <c r="T41" s="122">
        <f>'D1.x'!V50</f>
        <v>0</v>
      </c>
      <c r="U41" s="174">
        <f t="shared" si="18"/>
        <v>1350</v>
      </c>
      <c r="V41" s="147">
        <v>30</v>
      </c>
      <c r="W41" s="172">
        <v>100</v>
      </c>
      <c r="X41" s="345">
        <f t="shared" si="8"/>
        <v>20</v>
      </c>
      <c r="Y41" s="345">
        <f t="shared" si="9"/>
        <v>24</v>
      </c>
      <c r="Z41" s="272">
        <f>'D1.x'!U50</f>
        <v>0.75</v>
      </c>
      <c r="AA41" s="144">
        <f>'D1.x'!H50</f>
        <v>1</v>
      </c>
      <c r="AB41" s="273" t="e">
        <f>'D1.x'!$A$43/60+('D1.x'!$A$34/'D1.x'!P50)*(T41/M41)*(('D1.x'!$A$37+('D1.x'!K50/('D1.x'!$A$34-1)))/'D1.x'!$A$13)</f>
        <v>#DIV/0!</v>
      </c>
      <c r="AC41" s="275" t="e">
        <f t="shared" si="16"/>
        <v>#DIV/0!</v>
      </c>
      <c r="AD41" s="245">
        <f t="shared" si="17"/>
        <v>0</v>
      </c>
      <c r="AE41" s="422">
        <v>0</v>
      </c>
      <c r="AJ41" s="101"/>
    </row>
    <row r="42" spans="1:36" ht="12.75">
      <c r="A42" s="141">
        <f t="shared" si="12"/>
        <v>142.875</v>
      </c>
      <c r="B42" s="125">
        <f>'D1.x'!E51</f>
        <v>5.625</v>
      </c>
      <c r="C42" s="99">
        <f>'D1.x'!I51</f>
        <v>4.625</v>
      </c>
      <c r="D42" s="148">
        <f>'D1.x'!P51</f>
        <v>0</v>
      </c>
      <c r="E42" s="122">
        <f>'D1.x'!G51</f>
        <v>3</v>
      </c>
      <c r="F42" s="22">
        <f>'D1.x'!L51</f>
        <v>110.95990566037736</v>
      </c>
      <c r="G42" s="22">
        <f>'D1.x'!M51</f>
        <v>206.0683962264151</v>
      </c>
      <c r="H42" s="114">
        <f>'D1.x'!N51</f>
        <v>0</v>
      </c>
      <c r="I42" s="648">
        <v>1</v>
      </c>
      <c r="J42" s="648">
        <v>12</v>
      </c>
      <c r="K42" s="154">
        <f t="shared" si="3"/>
        <v>0.6799999999999999</v>
      </c>
      <c r="L42" s="424">
        <f>'D1.x'!Q51</f>
        <v>35</v>
      </c>
      <c r="M42" s="173">
        <v>100</v>
      </c>
      <c r="N42" s="147"/>
      <c r="O42" s="89" t="str">
        <f t="shared" si="13"/>
        <v>0:20</v>
      </c>
      <c r="P42" s="144" t="e">
        <f t="shared" si="14"/>
        <v>#DIV/0!</v>
      </c>
      <c r="Q42" s="144" t="e">
        <f t="shared" si="0"/>
        <v>#DIV/0!</v>
      </c>
      <c r="R42" s="124">
        <f>IF(UPPER('D1.x'!F51)="B",IF('D1.x'!D51='D1.x'!E51,'D1.x'!R51,'D1.x'!R51+'D1.x'!T51),'D1.x'!R51+'D1.x'!T51)</f>
        <v>0</v>
      </c>
      <c r="S42" s="161">
        <f t="shared" si="15"/>
        <v>2</v>
      </c>
      <c r="T42" s="122">
        <f>'D1.x'!V51</f>
        <v>0</v>
      </c>
      <c r="U42" s="174">
        <f t="shared" si="18"/>
        <v>1350</v>
      </c>
      <c r="V42" s="147">
        <v>30</v>
      </c>
      <c r="W42" s="172">
        <v>100</v>
      </c>
      <c r="X42" s="345">
        <f t="shared" si="8"/>
        <v>20</v>
      </c>
      <c r="Y42" s="345">
        <f t="shared" si="9"/>
        <v>24</v>
      </c>
      <c r="Z42" s="272">
        <f>'D1.x'!U51</f>
        <v>0.75</v>
      </c>
      <c r="AA42" s="144">
        <f>'D1.x'!H51</f>
        <v>1</v>
      </c>
      <c r="AB42" s="273" t="e">
        <f>'D1.x'!$A$43/60+('D1.x'!$A$34/'D1.x'!P51)*(T42/M42)*(('D1.x'!$A$37+('D1.x'!K51/('D1.x'!$A$34-1)))/'D1.x'!$A$13)</f>
        <v>#DIV/0!</v>
      </c>
      <c r="AC42" s="275" t="e">
        <f t="shared" si="16"/>
        <v>#DIV/0!</v>
      </c>
      <c r="AD42" s="245">
        <f t="shared" si="17"/>
        <v>0</v>
      </c>
      <c r="AE42" s="422">
        <v>0</v>
      </c>
      <c r="AJ42" s="101"/>
    </row>
    <row r="43" spans="1:36" ht="12.75">
      <c r="A43" s="141">
        <f>B43*25.4</f>
        <v>146.04999999999998</v>
      </c>
      <c r="B43" s="125">
        <f>'D1.x'!E52</f>
        <v>5.75</v>
      </c>
      <c r="C43" s="99">
        <f>'D1.x'!I52</f>
        <v>5.5</v>
      </c>
      <c r="D43" s="148">
        <f>'D1.x'!P52</f>
        <v>0</v>
      </c>
      <c r="E43" s="122">
        <f>'D1.x'!G52</f>
        <v>4</v>
      </c>
      <c r="F43" s="22">
        <f>'D1.x'!L52</f>
        <v>113.32075471698114</v>
      </c>
      <c r="G43" s="22">
        <f>'D1.x'!M52</f>
        <v>210.4528301886793</v>
      </c>
      <c r="H43" s="114">
        <f>'D1.x'!N52</f>
        <v>0</v>
      </c>
      <c r="I43" s="648">
        <v>1</v>
      </c>
      <c r="J43" s="648">
        <v>12</v>
      </c>
      <c r="K43" s="154">
        <f t="shared" si="3"/>
        <v>0</v>
      </c>
      <c r="L43" s="424">
        <f>'D1.x'!Q52</f>
        <v>35</v>
      </c>
      <c r="M43" s="173">
        <v>100</v>
      </c>
      <c r="N43" s="147"/>
      <c r="O43" s="89" t="str">
        <f>O42</f>
        <v>0:20</v>
      </c>
      <c r="P43" s="144" t="e">
        <f>ROUNDDOWN(AB43,0)</f>
        <v>#DIV/0!</v>
      </c>
      <c r="Q43" s="144" t="e">
        <f t="shared" si="0"/>
        <v>#DIV/0!</v>
      </c>
      <c r="R43" s="124">
        <f>IF(UPPER('D1.x'!F52)="B",IF('D1.x'!D52='D1.x'!E52,'D1.x'!R52,'D1.x'!R52+'D1.x'!T52),'D1.x'!R52+'D1.x'!T52)</f>
        <v>0</v>
      </c>
      <c r="S43" s="161">
        <f>IF(K43=0,R43,R43+2)</f>
        <v>0</v>
      </c>
      <c r="T43" s="545">
        <f>'D1.x'!V52</f>
        <v>0</v>
      </c>
      <c r="U43" s="174">
        <f t="shared" si="18"/>
        <v>1350</v>
      </c>
      <c r="V43" s="147">
        <v>30</v>
      </c>
      <c r="W43" s="172">
        <v>100</v>
      </c>
      <c r="X43" s="345">
        <f t="shared" si="8"/>
        <v>20</v>
      </c>
      <c r="Y43" s="345">
        <f t="shared" si="9"/>
        <v>24</v>
      </c>
      <c r="Z43" s="272">
        <f>'D1.x'!U52</f>
        <v>0.45</v>
      </c>
      <c r="AA43" s="144">
        <f>'D1.x'!H52</f>
        <v>2</v>
      </c>
      <c r="AB43" s="273" t="e">
        <f>'D1.x'!$A$43/60+('D1.x'!$A$34/'D1.x'!P52)*(T43/M43)*(('D1.x'!$A$37+('D1.x'!K52/('D1.x'!$A$34-1)))/'D1.x'!$A$13)</f>
        <v>#DIV/0!</v>
      </c>
      <c r="AC43" s="275" t="e">
        <f>M43/T43</f>
        <v>#DIV/0!</v>
      </c>
      <c r="AD43" s="245">
        <f>T43*$AD$1</f>
        <v>0</v>
      </c>
      <c r="AE43" s="422">
        <v>0</v>
      </c>
      <c r="AJ43" s="101"/>
    </row>
    <row r="44" spans="1:36" ht="12.75">
      <c r="A44" s="141">
        <f>B44*25.4</f>
        <v>149.225</v>
      </c>
      <c r="B44" s="125">
        <f>'D1.x'!E53</f>
        <v>5.875</v>
      </c>
      <c r="C44" s="99">
        <f>'D1.x'!I53</f>
        <v>5.5</v>
      </c>
      <c r="D44" s="148">
        <f>'D1.x'!P53</f>
        <v>0</v>
      </c>
      <c r="E44" s="122">
        <f>'D1.x'!G53</f>
        <v>4</v>
      </c>
      <c r="F44" s="22">
        <f>'D1.x'!L53</f>
        <v>115.6816037735849</v>
      </c>
      <c r="G44" s="22">
        <f>'D1.x'!M53</f>
        <v>214.8372641509434</v>
      </c>
      <c r="H44" s="114">
        <f>'D1.x'!N53</f>
        <v>0</v>
      </c>
      <c r="I44" s="648">
        <v>1</v>
      </c>
      <c r="J44" s="648">
        <v>12</v>
      </c>
      <c r="K44" s="154">
        <f t="shared" si="3"/>
        <v>0</v>
      </c>
      <c r="L44" s="424">
        <f>'D1.x'!Q53</f>
        <v>35</v>
      </c>
      <c r="M44" s="173">
        <v>100</v>
      </c>
      <c r="N44" s="147"/>
      <c r="O44" s="89" t="str">
        <f>O43</f>
        <v>0:20</v>
      </c>
      <c r="P44" s="144" t="e">
        <f>ROUNDDOWN(AB44,0)</f>
        <v>#DIV/0!</v>
      </c>
      <c r="Q44" s="144" t="e">
        <f t="shared" si="0"/>
        <v>#DIV/0!</v>
      </c>
      <c r="R44" s="124">
        <f>IF(UPPER('D1.x'!F53)="B",IF('D1.x'!D53='D1.x'!E53,'D1.x'!R53,'D1.x'!R53+'D1.x'!T53),'D1.x'!R53+'D1.x'!T53)</f>
        <v>0</v>
      </c>
      <c r="S44" s="161">
        <f>IF(K44=0,R44,R44+2)</f>
        <v>0</v>
      </c>
      <c r="T44" s="545">
        <f>'D1.x'!V53</f>
        <v>0</v>
      </c>
      <c r="U44" s="174">
        <f t="shared" si="18"/>
        <v>1350</v>
      </c>
      <c r="V44" s="147">
        <v>30</v>
      </c>
      <c r="W44" s="172">
        <v>100</v>
      </c>
      <c r="X44" s="345">
        <f t="shared" si="8"/>
        <v>20</v>
      </c>
      <c r="Y44" s="345">
        <f t="shared" si="9"/>
        <v>24</v>
      </c>
      <c r="Z44" s="272">
        <f>'D1.x'!U53</f>
        <v>0.45</v>
      </c>
      <c r="AA44" s="144">
        <f>'D1.x'!H53</f>
        <v>2</v>
      </c>
      <c r="AB44" s="273" t="e">
        <f>'D1.x'!$A$43/60+('D1.x'!$A$34/'D1.x'!P53)*(T44/M44)*(('D1.x'!$A$37+('D1.x'!K53/('D1.x'!$A$34-1)))/'D1.x'!$A$13)</f>
        <v>#DIV/0!</v>
      </c>
      <c r="AC44" s="275" t="e">
        <f>M44/T44</f>
        <v>#DIV/0!</v>
      </c>
      <c r="AD44" s="245">
        <f>T44*$AD$1</f>
        <v>0</v>
      </c>
      <c r="AE44" s="422">
        <v>0</v>
      </c>
      <c r="AJ44" s="101"/>
    </row>
    <row r="45" spans="1:36" ht="13.5" thickBot="1">
      <c r="A45" s="263">
        <f>B45*25.4</f>
        <v>152.39999999999998</v>
      </c>
      <c r="B45" s="125">
        <f>'D1.x'!E54</f>
        <v>6</v>
      </c>
      <c r="C45" s="264">
        <f>'D1.x'!I54</f>
        <v>5.5</v>
      </c>
      <c r="D45" s="265">
        <f>'D1.x'!P54</f>
        <v>0</v>
      </c>
      <c r="E45" s="266">
        <f>'D1.x'!G54</f>
        <v>4</v>
      </c>
      <c r="F45" s="142">
        <f>'D1.x'!L54</f>
        <v>118.04245283018868</v>
      </c>
      <c r="G45" s="142">
        <f>'D1.x'!M54</f>
        <v>219.22169811320757</v>
      </c>
      <c r="H45" s="267">
        <f>'D1.x'!N54</f>
        <v>0</v>
      </c>
      <c r="I45" s="648">
        <v>1</v>
      </c>
      <c r="J45" s="648">
        <v>12</v>
      </c>
      <c r="K45" s="154">
        <f t="shared" si="3"/>
        <v>0</v>
      </c>
      <c r="L45" s="424">
        <f>'D1.x'!Q54</f>
        <v>35</v>
      </c>
      <c r="M45" s="173">
        <v>100</v>
      </c>
      <c r="N45" s="268"/>
      <c r="O45" s="269" t="str">
        <f>O44</f>
        <v>0:20</v>
      </c>
      <c r="P45" s="270" t="e">
        <f>ROUNDDOWN(AB45,0)</f>
        <v>#DIV/0!</v>
      </c>
      <c r="Q45" s="270" t="e">
        <f t="shared" si="0"/>
        <v>#DIV/0!</v>
      </c>
      <c r="R45" s="124">
        <f>IF(UPPER('D1.x'!F54)="B",IF('D1.x'!D54='D1.x'!E54,'D1.x'!R54,'D1.x'!R54+'D1.x'!T54),'D1.x'!R54+'D1.x'!T54)</f>
        <v>0</v>
      </c>
      <c r="S45" s="271">
        <f>IF(K45=0,R45,R45+2)</f>
        <v>0</v>
      </c>
      <c r="T45" s="546">
        <f>'D1.x'!V54</f>
        <v>0</v>
      </c>
      <c r="U45" s="174">
        <f t="shared" si="18"/>
        <v>1350</v>
      </c>
      <c r="V45" s="147">
        <v>30</v>
      </c>
      <c r="W45" s="172">
        <v>100</v>
      </c>
      <c r="X45" s="345">
        <f t="shared" si="8"/>
        <v>20</v>
      </c>
      <c r="Y45" s="345">
        <f t="shared" si="9"/>
        <v>24</v>
      </c>
      <c r="Z45" s="281">
        <f>'D1.x'!U54</f>
        <v>0.45</v>
      </c>
      <c r="AA45" s="270">
        <f>'D1.x'!H54</f>
        <v>2</v>
      </c>
      <c r="AB45" s="273" t="e">
        <f>'D1.x'!$A$43/60+('D1.x'!$A$34/'D1.x'!P54)*(T45/M45)*(('D1.x'!$A$37+('D1.x'!K54/('D1.x'!$A$34-1)))/'D1.x'!$A$13)</f>
        <v>#DIV/0!</v>
      </c>
      <c r="AC45" s="282" t="e">
        <f>M45/T45</f>
        <v>#DIV/0!</v>
      </c>
      <c r="AD45" s="247">
        <f>T45*$AD$1</f>
        <v>0</v>
      </c>
      <c r="AE45" s="422">
        <v>0</v>
      </c>
      <c r="AJ45" s="101"/>
    </row>
    <row r="46" spans="1:36" ht="12.75">
      <c r="A46" s="24"/>
      <c r="B46" s="158"/>
      <c r="C46" s="251"/>
      <c r="D46" s="252"/>
      <c r="E46" s="233"/>
      <c r="F46" s="24"/>
      <c r="G46" s="24"/>
      <c r="H46" s="159"/>
      <c r="I46" s="253"/>
      <c r="J46" s="233"/>
      <c r="K46" s="10"/>
      <c r="L46" s="14"/>
      <c r="M46" s="24"/>
      <c r="N46" s="14"/>
      <c r="O46" s="145"/>
      <c r="P46" s="254"/>
      <c r="Q46" s="254"/>
      <c r="R46" s="14"/>
      <c r="S46" s="14"/>
      <c r="T46" s="233"/>
      <c r="U46" s="234"/>
      <c r="V46" s="14"/>
      <c r="W46" s="115"/>
      <c r="X46" s="145"/>
      <c r="Y46" s="145"/>
      <c r="Z46" s="255"/>
      <c r="AA46" s="254"/>
      <c r="AB46" s="210"/>
      <c r="AC46" s="103"/>
      <c r="AD46" s="29"/>
      <c r="AJ46" s="101"/>
    </row>
    <row r="47" spans="5:36" ht="12.75">
      <c r="E47" s="96"/>
      <c r="G47" s="2" t="s">
        <v>66</v>
      </c>
      <c r="H47" s="2" t="s">
        <v>67</v>
      </c>
      <c r="L47" s="2" t="s">
        <v>70</v>
      </c>
      <c r="M47" s="2" t="s">
        <v>68</v>
      </c>
      <c r="N47" s="2"/>
      <c r="O47" s="29" t="s">
        <v>69</v>
      </c>
      <c r="P47" s="29"/>
      <c r="Y47" s="115"/>
      <c r="Z47" s="115"/>
      <c r="AA47" s="115"/>
      <c r="AB47" s="115"/>
      <c r="AC47" s="3"/>
      <c r="AJ47" s="101"/>
    </row>
    <row r="48" spans="5:36" ht="12.75">
      <c r="E48" s="96"/>
      <c r="G48" s="29">
        <f>M19</f>
        <v>135</v>
      </c>
      <c r="H48" s="29">
        <f>T19</f>
        <v>0</v>
      </c>
      <c r="I48" s="29"/>
      <c r="J48" s="29"/>
      <c r="K48" s="29"/>
      <c r="L48" s="2">
        <f aca="true" t="shared" si="19" ref="L48:L63">W19</f>
        <v>125</v>
      </c>
      <c r="M48" s="2">
        <f aca="true" t="shared" si="20" ref="M48:M63">R19</f>
        <v>0</v>
      </c>
      <c r="N48" s="2"/>
      <c r="O48" s="29">
        <f aca="true" t="shared" si="21" ref="O48:O63">V19</f>
        <v>30</v>
      </c>
      <c r="P48" s="29"/>
      <c r="AJ48" s="102"/>
    </row>
    <row r="49" spans="5:16" ht="12.75">
      <c r="E49" s="96"/>
      <c r="G49" s="29">
        <f aca="true" t="shared" si="22" ref="G49:G62">M20</f>
        <v>135</v>
      </c>
      <c r="H49" s="29">
        <f aca="true" t="shared" si="23" ref="H49:H63">T20</f>
        <v>0</v>
      </c>
      <c r="I49" s="29"/>
      <c r="J49" s="29"/>
      <c r="K49" s="29"/>
      <c r="L49" s="2">
        <f t="shared" si="19"/>
        <v>125</v>
      </c>
      <c r="M49" s="2">
        <f t="shared" si="20"/>
        <v>0</v>
      </c>
      <c r="N49" s="2"/>
      <c r="O49" s="29">
        <f t="shared" si="21"/>
        <v>30</v>
      </c>
      <c r="P49" s="29"/>
    </row>
    <row r="50" spans="5:16" ht="12.75">
      <c r="E50" s="97"/>
      <c r="G50" s="29">
        <f t="shared" si="22"/>
        <v>135</v>
      </c>
      <c r="H50" s="29">
        <f t="shared" si="23"/>
        <v>0</v>
      </c>
      <c r="I50" s="29"/>
      <c r="J50" s="29"/>
      <c r="K50" s="29"/>
      <c r="L50" s="2">
        <f t="shared" si="19"/>
        <v>125</v>
      </c>
      <c r="M50" s="2">
        <f t="shared" si="20"/>
        <v>0</v>
      </c>
      <c r="N50" s="2"/>
      <c r="O50" s="29">
        <f t="shared" si="21"/>
        <v>30</v>
      </c>
      <c r="P50" s="29"/>
    </row>
    <row r="51" spans="5:16" ht="12.75">
      <c r="E51" s="96"/>
      <c r="G51" s="29">
        <f t="shared" si="22"/>
        <v>135</v>
      </c>
      <c r="H51" s="29">
        <f t="shared" si="23"/>
        <v>0</v>
      </c>
      <c r="I51" s="29"/>
      <c r="J51" s="29"/>
      <c r="K51" s="29"/>
      <c r="L51" s="2">
        <f t="shared" si="19"/>
        <v>125</v>
      </c>
      <c r="M51" s="2">
        <f t="shared" si="20"/>
        <v>0</v>
      </c>
      <c r="N51" s="2"/>
      <c r="O51" s="29">
        <f t="shared" si="21"/>
        <v>30</v>
      </c>
      <c r="P51" s="29"/>
    </row>
    <row r="52" spans="5:16" ht="12.75">
      <c r="E52" s="96"/>
      <c r="G52" s="29">
        <f t="shared" si="22"/>
        <v>135</v>
      </c>
      <c r="H52" s="29">
        <f t="shared" si="23"/>
        <v>0</v>
      </c>
      <c r="I52" s="29"/>
      <c r="J52" s="29"/>
      <c r="K52" s="29"/>
      <c r="L52" s="2">
        <f t="shared" si="19"/>
        <v>125</v>
      </c>
      <c r="M52" s="2">
        <f t="shared" si="20"/>
        <v>0</v>
      </c>
      <c r="N52" s="2"/>
      <c r="O52" s="29">
        <f t="shared" si="21"/>
        <v>30</v>
      </c>
      <c r="P52" s="29"/>
    </row>
    <row r="53" spans="5:16" ht="12.75">
      <c r="E53" s="96"/>
      <c r="G53" s="29">
        <f t="shared" si="22"/>
        <v>145</v>
      </c>
      <c r="H53" s="29">
        <f t="shared" si="23"/>
        <v>0</v>
      </c>
      <c r="I53" s="29"/>
      <c r="J53" s="29"/>
      <c r="K53" s="29"/>
      <c r="L53" s="2">
        <f t="shared" si="19"/>
        <v>125</v>
      </c>
      <c r="M53" s="2">
        <f t="shared" si="20"/>
        <v>0</v>
      </c>
      <c r="N53" s="2"/>
      <c r="O53" s="29">
        <f t="shared" si="21"/>
        <v>30</v>
      </c>
      <c r="P53" s="29"/>
    </row>
    <row r="54" spans="5:16" ht="12.75">
      <c r="E54" s="96"/>
      <c r="G54" s="29">
        <f t="shared" si="22"/>
        <v>145</v>
      </c>
      <c r="H54" s="29">
        <f t="shared" si="23"/>
        <v>0</v>
      </c>
      <c r="I54" s="29"/>
      <c r="J54" s="29"/>
      <c r="K54" s="29"/>
      <c r="L54" s="2">
        <f t="shared" si="19"/>
        <v>125</v>
      </c>
      <c r="M54" s="2">
        <f t="shared" si="20"/>
        <v>0</v>
      </c>
      <c r="N54" s="2"/>
      <c r="O54" s="29">
        <f t="shared" si="21"/>
        <v>30</v>
      </c>
      <c r="P54" s="29"/>
    </row>
    <row r="55" spans="5:16" ht="12.75">
      <c r="E55" s="96"/>
      <c r="G55" s="29">
        <f t="shared" si="22"/>
        <v>145</v>
      </c>
      <c r="H55" s="29">
        <f t="shared" si="23"/>
        <v>0</v>
      </c>
      <c r="I55" s="29"/>
      <c r="J55" s="29"/>
      <c r="K55" s="29"/>
      <c r="L55" s="2">
        <f t="shared" si="19"/>
        <v>125</v>
      </c>
      <c r="M55" s="2">
        <f t="shared" si="20"/>
        <v>0</v>
      </c>
      <c r="N55" s="2"/>
      <c r="O55" s="29">
        <f t="shared" si="21"/>
        <v>30</v>
      </c>
      <c r="P55" s="29"/>
    </row>
    <row r="56" spans="5:16" ht="12.75">
      <c r="E56" s="97"/>
      <c r="G56" s="29">
        <f t="shared" si="22"/>
        <v>115</v>
      </c>
      <c r="H56" s="29">
        <f t="shared" si="23"/>
        <v>0</v>
      </c>
      <c r="I56" s="29"/>
      <c r="J56" s="29"/>
      <c r="K56" s="29"/>
      <c r="L56" s="2">
        <f t="shared" si="19"/>
        <v>125</v>
      </c>
      <c r="M56" s="2">
        <f t="shared" si="20"/>
        <v>0</v>
      </c>
      <c r="N56" s="2"/>
      <c r="O56" s="29">
        <f t="shared" si="21"/>
        <v>30</v>
      </c>
      <c r="P56" s="29"/>
    </row>
    <row r="57" spans="5:16" ht="12.75">
      <c r="E57" s="96"/>
      <c r="G57" s="29">
        <f t="shared" si="22"/>
        <v>125</v>
      </c>
      <c r="H57" s="29">
        <f t="shared" si="23"/>
        <v>0</v>
      </c>
      <c r="I57" s="29"/>
      <c r="J57" s="29"/>
      <c r="K57" s="29"/>
      <c r="L57" s="2">
        <f t="shared" si="19"/>
        <v>125</v>
      </c>
      <c r="M57" s="2">
        <f t="shared" si="20"/>
        <v>0</v>
      </c>
      <c r="N57" s="2"/>
      <c r="O57" s="29">
        <f t="shared" si="21"/>
        <v>30</v>
      </c>
      <c r="P57" s="29"/>
    </row>
    <row r="58" spans="5:16" ht="12.75">
      <c r="E58" s="96"/>
      <c r="G58" s="29">
        <f t="shared" si="22"/>
        <v>125</v>
      </c>
      <c r="H58" s="29">
        <f t="shared" si="23"/>
        <v>0</v>
      </c>
      <c r="I58" s="29"/>
      <c r="J58" s="29"/>
      <c r="K58" s="29"/>
      <c r="L58" s="2">
        <f t="shared" si="19"/>
        <v>115</v>
      </c>
      <c r="M58" s="2">
        <f t="shared" si="20"/>
        <v>0</v>
      </c>
      <c r="N58" s="2"/>
      <c r="O58" s="29">
        <f t="shared" si="21"/>
        <v>30</v>
      </c>
      <c r="P58" s="29"/>
    </row>
    <row r="59" spans="5:16" ht="12.75">
      <c r="E59" s="96"/>
      <c r="G59" s="29">
        <f t="shared" si="22"/>
        <v>130</v>
      </c>
      <c r="H59" s="29">
        <f t="shared" si="23"/>
        <v>0</v>
      </c>
      <c r="I59" s="29"/>
      <c r="J59" s="29"/>
      <c r="K59" s="29"/>
      <c r="L59" s="2">
        <f t="shared" si="19"/>
        <v>125</v>
      </c>
      <c r="M59" s="2">
        <f t="shared" si="20"/>
        <v>0</v>
      </c>
      <c r="N59" s="2"/>
      <c r="O59" s="29">
        <f t="shared" si="21"/>
        <v>30</v>
      </c>
      <c r="P59" s="29"/>
    </row>
    <row r="60" spans="5:16" ht="12.75">
      <c r="E60" s="96"/>
      <c r="G60" s="29">
        <f t="shared" si="22"/>
        <v>130</v>
      </c>
      <c r="H60" s="29">
        <f t="shared" si="23"/>
        <v>0</v>
      </c>
      <c r="I60" s="29"/>
      <c r="J60" s="29"/>
      <c r="K60" s="29"/>
      <c r="L60" s="2">
        <f t="shared" si="19"/>
        <v>125</v>
      </c>
      <c r="M60" s="2">
        <f t="shared" si="20"/>
        <v>0</v>
      </c>
      <c r="N60" s="2"/>
      <c r="O60" s="29">
        <f t="shared" si="21"/>
        <v>30</v>
      </c>
      <c r="P60" s="29"/>
    </row>
    <row r="61" spans="5:16" ht="12.75">
      <c r="E61" s="96"/>
      <c r="G61" s="29">
        <f>M32</f>
        <v>125</v>
      </c>
      <c r="H61" s="29">
        <f t="shared" si="23"/>
        <v>0</v>
      </c>
      <c r="I61" s="29"/>
      <c r="J61" s="29"/>
      <c r="K61" s="29"/>
      <c r="L61" s="2">
        <f t="shared" si="19"/>
        <v>125</v>
      </c>
      <c r="M61" s="2">
        <f t="shared" si="20"/>
        <v>0</v>
      </c>
      <c r="N61" s="2"/>
      <c r="O61" s="29">
        <f t="shared" si="21"/>
        <v>30</v>
      </c>
      <c r="P61" s="29"/>
    </row>
    <row r="62" spans="5:16" ht="12.75">
      <c r="E62" s="96"/>
      <c r="G62" s="29">
        <f t="shared" si="22"/>
        <v>120</v>
      </c>
      <c r="H62" s="29">
        <f t="shared" si="23"/>
        <v>0</v>
      </c>
      <c r="I62" s="29"/>
      <c r="J62" s="29"/>
      <c r="K62" s="29"/>
      <c r="L62" s="2">
        <f t="shared" si="19"/>
        <v>120</v>
      </c>
      <c r="M62" s="2">
        <f t="shared" si="20"/>
        <v>0</v>
      </c>
      <c r="N62" s="2"/>
      <c r="O62" s="29">
        <f t="shared" si="21"/>
        <v>30</v>
      </c>
      <c r="P62" s="29"/>
    </row>
    <row r="63" spans="5:16" ht="12.75">
      <c r="E63" s="95"/>
      <c r="G63" s="29">
        <f>M34</f>
        <v>120</v>
      </c>
      <c r="H63" s="29">
        <f t="shared" si="23"/>
        <v>0</v>
      </c>
      <c r="I63" s="29"/>
      <c r="J63" s="29"/>
      <c r="K63" s="29"/>
      <c r="L63" s="2">
        <f t="shared" si="19"/>
        <v>120</v>
      </c>
      <c r="M63" s="2">
        <f t="shared" si="20"/>
        <v>0</v>
      </c>
      <c r="N63" s="2"/>
      <c r="O63" s="29">
        <f t="shared" si="21"/>
        <v>30</v>
      </c>
      <c r="P63" s="29"/>
    </row>
    <row r="64" spans="5:7" ht="12.75">
      <c r="E64" s="95"/>
      <c r="G64" s="29"/>
    </row>
    <row r="65" spans="5:7" ht="12.75">
      <c r="E65" s="95"/>
      <c r="G65" s="29"/>
    </row>
    <row r="66" ht="12.75">
      <c r="E66" s="95"/>
    </row>
    <row r="67" ht="12.75">
      <c r="E67" s="95"/>
    </row>
    <row r="68" ht="12.75">
      <c r="E68" s="95"/>
    </row>
    <row r="69" ht="12.75">
      <c r="E69" s="95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spans="8:11" ht="15.75">
      <c r="H99" s="106" t="s">
        <v>83</v>
      </c>
      <c r="I99" s="106"/>
      <c r="J99" s="106"/>
      <c r="K99" s="106"/>
    </row>
    <row r="101" spans="2:20" ht="12.75">
      <c r="B101" s="74" t="s">
        <v>71</v>
      </c>
      <c r="C101" s="111"/>
      <c r="D101" s="5"/>
      <c r="E101" t="s">
        <v>92</v>
      </c>
      <c r="G101" t="s">
        <v>89</v>
      </c>
      <c r="M101" s="108" t="s">
        <v>90</v>
      </c>
      <c r="N101" s="108"/>
      <c r="T101" t="s">
        <v>91</v>
      </c>
    </row>
    <row r="102" spans="2:4" ht="12.75">
      <c r="B102" s="109" t="s">
        <v>72</v>
      </c>
      <c r="C102" s="112"/>
      <c r="D102" s="5"/>
    </row>
    <row r="103" spans="2:7" ht="12.75">
      <c r="B103" s="110" t="s">
        <v>10</v>
      </c>
      <c r="C103" s="110" t="s">
        <v>34</v>
      </c>
      <c r="D103" s="5"/>
      <c r="G103" s="105" t="s">
        <v>55</v>
      </c>
    </row>
    <row r="104" spans="2:4" ht="12.75">
      <c r="B104" s="5">
        <v>310</v>
      </c>
      <c r="C104" s="5">
        <v>72</v>
      </c>
      <c r="D104" s="5"/>
    </row>
    <row r="105" spans="2:4" ht="12.75">
      <c r="B105" s="5">
        <v>300</v>
      </c>
      <c r="C105" s="3"/>
      <c r="D105" s="5"/>
    </row>
    <row r="106" spans="2:7" ht="12.75">
      <c r="B106" s="5">
        <v>290</v>
      </c>
      <c r="C106" s="5">
        <v>44</v>
      </c>
      <c r="D106" s="5"/>
      <c r="G106" s="2" t="s">
        <v>34</v>
      </c>
    </row>
    <row r="107" spans="2:13" ht="12.75">
      <c r="B107" s="5">
        <v>280</v>
      </c>
      <c r="C107" s="5">
        <v>43</v>
      </c>
      <c r="D107" s="5"/>
      <c r="M107" s="29" t="s">
        <v>82</v>
      </c>
    </row>
    <row r="108" spans="2:4" ht="12.75">
      <c r="B108" s="5">
        <v>270</v>
      </c>
      <c r="C108" s="5">
        <v>42</v>
      </c>
      <c r="D108" s="5"/>
    </row>
    <row r="109" spans="2:4" ht="12.75">
      <c r="B109" s="5">
        <v>260</v>
      </c>
      <c r="C109" s="5">
        <v>41</v>
      </c>
      <c r="D109" s="5"/>
    </row>
    <row r="110" spans="2:4" ht="12.75">
      <c r="B110" s="5">
        <v>250</v>
      </c>
      <c r="C110" s="5">
        <v>40</v>
      </c>
      <c r="D110" s="5"/>
    </row>
    <row r="111" spans="2:4" ht="12.75">
      <c r="B111" s="5">
        <v>240</v>
      </c>
      <c r="C111" s="5">
        <v>39</v>
      </c>
      <c r="D111" s="5"/>
    </row>
    <row r="112" spans="2:4" ht="12.75">
      <c r="B112" s="5">
        <v>230</v>
      </c>
      <c r="C112" s="5">
        <v>38</v>
      </c>
      <c r="D112" s="5"/>
    </row>
    <row r="113" spans="2:4" ht="12.75">
      <c r="B113" s="5">
        <v>220</v>
      </c>
      <c r="C113" s="5">
        <v>37</v>
      </c>
      <c r="D113" s="5"/>
    </row>
    <row r="114" spans="2:4" ht="12.75">
      <c r="B114" s="5">
        <v>210</v>
      </c>
      <c r="C114" s="5">
        <v>36</v>
      </c>
      <c r="D114" s="5"/>
    </row>
    <row r="115" spans="2:4" ht="12.75">
      <c r="B115" s="5">
        <v>200</v>
      </c>
      <c r="C115" s="5">
        <v>35</v>
      </c>
      <c r="D115" s="5"/>
    </row>
    <row r="116" spans="2:4" ht="12.75">
      <c r="B116" s="5">
        <v>190</v>
      </c>
      <c r="C116" s="5">
        <v>34</v>
      </c>
      <c r="D116" s="5"/>
    </row>
    <row r="117" spans="2:4" ht="12.75">
      <c r="B117" s="5">
        <v>180</v>
      </c>
      <c r="C117" s="5">
        <v>33</v>
      </c>
      <c r="D117" s="5"/>
    </row>
    <row r="118" spans="2:4" ht="12.75">
      <c r="B118" s="5">
        <v>170</v>
      </c>
      <c r="C118" s="5">
        <v>32</v>
      </c>
      <c r="D118" s="5"/>
    </row>
    <row r="119" spans="2:4" ht="12.75">
      <c r="B119" s="5">
        <v>160</v>
      </c>
      <c r="C119" s="5">
        <v>31</v>
      </c>
      <c r="D119" s="5"/>
    </row>
    <row r="120" spans="2:4" ht="12.75">
      <c r="B120" s="5">
        <v>150</v>
      </c>
      <c r="C120" s="5">
        <v>30</v>
      </c>
      <c r="D120" s="5"/>
    </row>
    <row r="121" spans="2:4" ht="12.75">
      <c r="B121" s="5">
        <v>140</v>
      </c>
      <c r="C121" s="5">
        <v>29</v>
      </c>
      <c r="D121" s="5"/>
    </row>
    <row r="122" spans="2:4" ht="12.75">
      <c r="B122" s="5">
        <v>130</v>
      </c>
      <c r="C122" s="5">
        <v>28</v>
      </c>
      <c r="D122" s="5"/>
    </row>
    <row r="123" spans="2:4" ht="12.75">
      <c r="B123" s="5">
        <v>120</v>
      </c>
      <c r="C123" s="5">
        <v>27</v>
      </c>
      <c r="D123" s="5"/>
    </row>
    <row r="124" spans="2:7" ht="12.75">
      <c r="B124" s="5">
        <v>110</v>
      </c>
      <c r="C124" s="5">
        <v>26</v>
      </c>
      <c r="D124" s="5"/>
      <c r="F124" s="2" t="s">
        <v>80</v>
      </c>
      <c r="G124" s="2" t="s">
        <v>81</v>
      </c>
    </row>
    <row r="125" spans="2:4" ht="12.75">
      <c r="B125" s="5">
        <v>100</v>
      </c>
      <c r="C125" s="5">
        <v>25</v>
      </c>
      <c r="D125" s="5"/>
    </row>
    <row r="126" spans="2:24" ht="12.75">
      <c r="B126" s="2"/>
      <c r="X126" t="s">
        <v>73</v>
      </c>
    </row>
    <row r="127" spans="5:21" ht="12.75">
      <c r="E127" s="13" t="s">
        <v>74</v>
      </c>
      <c r="G127" s="2" t="s">
        <v>75</v>
      </c>
      <c r="H127" s="13" t="s">
        <v>76</v>
      </c>
      <c r="I127" s="13"/>
      <c r="J127" s="13"/>
      <c r="K127" s="13"/>
      <c r="O127" t="s">
        <v>77</v>
      </c>
      <c r="R127" s="105" t="s">
        <v>78</v>
      </c>
      <c r="S127" s="105"/>
      <c r="T127" s="2" t="s">
        <v>79</v>
      </c>
      <c r="U127" s="2"/>
    </row>
    <row r="128" ht="12.75">
      <c r="G128" s="2" t="s">
        <v>93</v>
      </c>
    </row>
    <row r="129" spans="17:20" ht="12.75">
      <c r="Q129" s="13" t="s">
        <v>85</v>
      </c>
      <c r="T129" t="s">
        <v>86</v>
      </c>
    </row>
    <row r="130" ht="12.75">
      <c r="G130" s="13" t="s">
        <v>84</v>
      </c>
    </row>
    <row r="131" ht="15.75">
      <c r="Q131" s="107" t="s">
        <v>87</v>
      </c>
    </row>
    <row r="132" ht="15.75">
      <c r="Q132" s="107" t="s">
        <v>88</v>
      </c>
    </row>
  </sheetData>
  <sheetProtection sheet="1" objects="1" scenarios="1"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106"/>
  <sheetViews>
    <sheetView workbookViewId="0" topLeftCell="A1">
      <selection activeCell="K26" sqref="K26"/>
    </sheetView>
  </sheetViews>
  <sheetFormatPr defaultColWidth="9.140625" defaultRowHeight="12.75"/>
  <cols>
    <col min="1" max="1" width="7.8515625" style="0" customWidth="1"/>
    <col min="2" max="2" width="8.140625" style="2" customWidth="1"/>
    <col min="3" max="3" width="6.421875" style="2" customWidth="1"/>
    <col min="4" max="4" width="8.140625" style="2" customWidth="1"/>
    <col min="5" max="5" width="8.8515625" style="2" customWidth="1"/>
    <col min="6" max="9" width="8.140625" style="2" customWidth="1"/>
    <col min="10" max="10" width="7.8515625" style="2" customWidth="1"/>
    <col min="11" max="11" width="11.28125" style="0" customWidth="1"/>
    <col min="12" max="12" width="16.140625" style="0" customWidth="1"/>
    <col min="13" max="13" width="7.140625" style="2" customWidth="1"/>
    <col min="14" max="14" width="7.00390625" style="2" customWidth="1"/>
    <col min="15" max="15" width="6.00390625" style="2" customWidth="1"/>
    <col min="16" max="16" width="6.8515625" style="2" customWidth="1"/>
    <col min="17" max="17" width="7.421875" style="2" customWidth="1"/>
    <col min="18" max="18" width="8.421875" style="0" customWidth="1"/>
    <col min="19" max="19" width="7.421875" style="2" customWidth="1"/>
    <col min="20" max="20" width="8.00390625" style="2" customWidth="1"/>
    <col min="21" max="21" width="8.8515625" style="2" customWidth="1"/>
    <col min="22" max="22" width="4.140625" style="0" customWidth="1"/>
  </cols>
  <sheetData>
    <row r="1" spans="1:27" s="193" customFormat="1" ht="12.75">
      <c r="A1"/>
      <c r="B1" s="2"/>
      <c r="C1" s="2"/>
      <c r="D1" s="2"/>
      <c r="E1" s="187" t="s">
        <v>265</v>
      </c>
      <c r="F1" s="2"/>
      <c r="G1" s="2"/>
      <c r="H1" s="2"/>
      <c r="I1" s="2" t="s">
        <v>266</v>
      </c>
      <c r="J1" s="455">
        <v>40745</v>
      </c>
      <c r="K1"/>
      <c r="L1"/>
      <c r="M1" s="2"/>
      <c r="N1" s="2"/>
      <c r="O1" s="2"/>
      <c r="P1" s="2"/>
      <c r="Q1" s="2"/>
      <c r="R1"/>
      <c r="S1" s="2"/>
      <c r="T1" s="2"/>
      <c r="U1" s="2"/>
      <c r="V1"/>
      <c r="W1"/>
      <c r="X1" s="298"/>
      <c r="Y1" s="298"/>
      <c r="Z1" s="298"/>
      <c r="AA1" s="298"/>
    </row>
    <row r="2" spans="1:27" s="193" customFormat="1" ht="12.75">
      <c r="A2"/>
      <c r="B2" s="2"/>
      <c r="C2" s="2"/>
      <c r="D2" s="2"/>
      <c r="E2" s="187" t="s">
        <v>267</v>
      </c>
      <c r="F2" s="2"/>
      <c r="G2" s="2"/>
      <c r="H2" s="2"/>
      <c r="I2" s="2"/>
      <c r="J2" s="2"/>
      <c r="K2"/>
      <c r="L2"/>
      <c r="M2" s="2"/>
      <c r="N2" s="2"/>
      <c r="O2" s="187"/>
      <c r="P2" s="187" t="s">
        <v>268</v>
      </c>
      <c r="Q2" s="187"/>
      <c r="R2"/>
      <c r="S2" s="2"/>
      <c r="T2" s="2"/>
      <c r="U2" s="2"/>
      <c r="V2"/>
      <c r="W2"/>
      <c r="X2" s="298"/>
      <c r="Y2" s="298"/>
      <c r="Z2" s="298"/>
      <c r="AA2" s="298"/>
    </row>
    <row r="3" spans="5:27" ht="12.75">
      <c r="E3" s="187" t="s">
        <v>269</v>
      </c>
      <c r="P3" s="187" t="s">
        <v>270</v>
      </c>
      <c r="Q3" s="187"/>
      <c r="X3" s="95"/>
      <c r="Y3" s="95"/>
      <c r="Z3" s="95"/>
      <c r="AA3" s="95"/>
    </row>
    <row r="4" spans="1:27" ht="12.75">
      <c r="A4" s="299" t="s">
        <v>271</v>
      </c>
      <c r="T4" s="457" t="s">
        <v>336</v>
      </c>
      <c r="U4" s="458"/>
      <c r="X4" s="95"/>
      <c r="Y4" s="95"/>
      <c r="Z4" s="95"/>
      <c r="AA4" s="95"/>
    </row>
    <row r="5" spans="1:27" ht="12.75">
      <c r="A5" s="300"/>
      <c r="B5" s="301"/>
      <c r="C5" s="301"/>
      <c r="D5" s="301"/>
      <c r="E5" s="690" t="s">
        <v>272</v>
      </c>
      <c r="F5" s="690"/>
      <c r="G5" s="690" t="s">
        <v>273</v>
      </c>
      <c r="H5" s="690"/>
      <c r="I5" s="690" t="s">
        <v>274</v>
      </c>
      <c r="J5" s="690"/>
      <c r="M5" s="301"/>
      <c r="N5" s="301"/>
      <c r="O5" s="301"/>
      <c r="P5" s="690" t="s">
        <v>275</v>
      </c>
      <c r="Q5" s="689" t="s">
        <v>276</v>
      </c>
      <c r="R5" s="690" t="s">
        <v>277</v>
      </c>
      <c r="S5" s="691"/>
      <c r="T5" s="692" t="s">
        <v>335</v>
      </c>
      <c r="U5" s="693"/>
      <c r="X5" s="95"/>
      <c r="Y5" s="95"/>
      <c r="Z5" s="95"/>
      <c r="AA5" s="95"/>
    </row>
    <row r="6" spans="1:27" ht="25.5">
      <c r="A6" s="302" t="s">
        <v>278</v>
      </c>
      <c r="B6" s="302" t="s">
        <v>279</v>
      </c>
      <c r="C6" s="454" t="s">
        <v>280</v>
      </c>
      <c r="D6" s="302" t="s">
        <v>281</v>
      </c>
      <c r="E6" s="302" t="s">
        <v>282</v>
      </c>
      <c r="F6" s="302" t="s">
        <v>283</v>
      </c>
      <c r="G6" s="302" t="s">
        <v>282</v>
      </c>
      <c r="H6" s="302" t="s">
        <v>284</v>
      </c>
      <c r="I6" s="302" t="s">
        <v>282</v>
      </c>
      <c r="J6" s="302" t="s">
        <v>285</v>
      </c>
      <c r="K6" s="230" t="s">
        <v>161</v>
      </c>
      <c r="L6" s="303" t="s">
        <v>286</v>
      </c>
      <c r="M6" s="304" t="s">
        <v>287</v>
      </c>
      <c r="N6" s="302" t="s">
        <v>281</v>
      </c>
      <c r="O6" s="302" t="s">
        <v>288</v>
      </c>
      <c r="P6" s="690"/>
      <c r="Q6" s="689"/>
      <c r="R6" s="302" t="s">
        <v>289</v>
      </c>
      <c r="S6" s="302" t="s">
        <v>284</v>
      </c>
      <c r="T6" s="456" t="s">
        <v>282</v>
      </c>
      <c r="U6" s="456" t="s">
        <v>290</v>
      </c>
      <c r="X6" s="95"/>
      <c r="Y6" s="95"/>
      <c r="Z6" s="95"/>
      <c r="AA6" s="95"/>
    </row>
    <row r="7" spans="1:27" s="193" customFormat="1" ht="18" customHeight="1">
      <c r="A7" s="305">
        <v>0.75</v>
      </c>
      <c r="B7" s="306">
        <v>0.625</v>
      </c>
      <c r="C7" s="307">
        <f>VLOOKUP(B7,$M$7:$P$21,3,FALSE)</f>
        <v>1</v>
      </c>
      <c r="D7" s="560">
        <f>VLOOKUP(B7,$M$7:$R$21,2,FALSE)</f>
        <v>0.625</v>
      </c>
      <c r="E7" s="560">
        <f aca="true" t="shared" si="0" ref="E7:E41">((A7+0.25)-D7)/2</f>
        <v>0.1875</v>
      </c>
      <c r="F7" s="308" t="str">
        <f aca="true" t="shared" si="1" ref="F7:F41">IF(E7&lt;$S$34,"N/G",IF(E7&gt;$T$34,"N/G","OK"))</f>
        <v>OK</v>
      </c>
      <c r="G7" s="301">
        <f aca="true" t="shared" si="2" ref="G7:G21">VLOOKUP(B7,$M$7:$R$21,6,FALSE)</f>
        <v>0</v>
      </c>
      <c r="H7" s="301" t="str">
        <f aca="true" t="shared" si="3" ref="H7:H41">IF(G7&gt;$T$32,"N/G","OK")</f>
        <v>OK</v>
      </c>
      <c r="I7" s="309">
        <f>((A7+0.25)-VLOOKUP(B7,$M$7:$R$21,5,FALSE))/2</f>
        <v>0.5</v>
      </c>
      <c r="J7" s="301" t="str">
        <f aca="true" t="shared" si="4" ref="J7:J41">IF(I7&lt;$S$35,"N/G",IF(I7&gt;$T$35,"N/G","OK"))</f>
        <v>OK</v>
      </c>
      <c r="K7">
        <v>32.3</v>
      </c>
      <c r="L7" s="310" t="s">
        <v>291</v>
      </c>
      <c r="M7" s="311">
        <v>0.625</v>
      </c>
      <c r="N7" s="309">
        <v>0.625</v>
      </c>
      <c r="O7" s="312">
        <v>1</v>
      </c>
      <c r="P7" s="312">
        <v>0</v>
      </c>
      <c r="Q7" s="312">
        <v>0</v>
      </c>
      <c r="R7" s="312">
        <f>P7/O7</f>
        <v>0</v>
      </c>
      <c r="S7" s="301"/>
      <c r="T7" s="313">
        <f aca="true" t="shared" si="5" ref="T7:T16">(N7-Q7)/2</f>
        <v>0.3125</v>
      </c>
      <c r="U7" s="301" t="str">
        <f aca="true" t="shared" si="6" ref="U7:U16">IF(T7&lt;$S$27,"N/G",IF(T7&gt;$T$33,"N/G","OK"))</f>
        <v>OK</v>
      </c>
      <c r="V7"/>
      <c r="W7"/>
      <c r="X7" s="298"/>
      <c r="Y7" s="298"/>
      <c r="Z7" s="298"/>
      <c r="AA7" s="298"/>
    </row>
    <row r="8" spans="1:27" ht="15">
      <c r="A8" s="305">
        <v>0.875</v>
      </c>
      <c r="B8" s="306">
        <v>0.625</v>
      </c>
      <c r="C8" s="307">
        <f aca="true" t="shared" si="7" ref="C8:C22">VLOOKUP(B8,$M$7:$P$21,3,FALSE)</f>
        <v>1</v>
      </c>
      <c r="D8" s="560">
        <f aca="true" t="shared" si="8" ref="D8:D22">VLOOKUP(B8,$M$7:$R$21,2,FALSE)</f>
        <v>0.625</v>
      </c>
      <c r="E8" s="560">
        <f t="shared" si="0"/>
        <v>0.25</v>
      </c>
      <c r="F8" s="313" t="str">
        <f t="shared" si="1"/>
        <v>OK</v>
      </c>
      <c r="G8" s="301">
        <f t="shared" si="2"/>
        <v>0</v>
      </c>
      <c r="H8" s="301" t="str">
        <f t="shared" si="3"/>
        <v>OK</v>
      </c>
      <c r="I8" s="309">
        <f aca="true" t="shared" si="9" ref="I8:I22">((A8+0.25)-VLOOKUP(B8,$M$7:$R$21,5,FALSE))/2</f>
        <v>0.5625</v>
      </c>
      <c r="J8" s="301" t="str">
        <f t="shared" si="4"/>
        <v>OK</v>
      </c>
      <c r="K8">
        <v>32.6</v>
      </c>
      <c r="L8" s="310" t="s">
        <v>337</v>
      </c>
      <c r="M8" s="311">
        <v>0.75</v>
      </c>
      <c r="N8" s="338">
        <v>0.75</v>
      </c>
      <c r="O8" s="312">
        <v>1</v>
      </c>
      <c r="P8" s="312">
        <v>0</v>
      </c>
      <c r="Q8" s="312">
        <v>0</v>
      </c>
      <c r="R8" s="312">
        <f>P8/O8</f>
        <v>0</v>
      </c>
      <c r="S8" s="301"/>
      <c r="T8" s="313">
        <f t="shared" si="5"/>
        <v>0.375</v>
      </c>
      <c r="U8" s="301" t="str">
        <f t="shared" si="6"/>
        <v>OK</v>
      </c>
      <c r="X8" s="95"/>
      <c r="Y8" s="95"/>
      <c r="Z8" s="95"/>
      <c r="AA8" s="95"/>
    </row>
    <row r="9" spans="1:27" ht="15">
      <c r="A9" s="305">
        <f aca="true" t="shared" si="10" ref="A9:A25">A8+0.125</f>
        <v>1</v>
      </c>
      <c r="B9" s="556">
        <v>0.75</v>
      </c>
      <c r="C9" s="307">
        <f t="shared" si="7"/>
        <v>1</v>
      </c>
      <c r="D9" s="560">
        <f t="shared" si="8"/>
        <v>0.75</v>
      </c>
      <c r="E9" s="560">
        <f t="shared" si="0"/>
        <v>0.25</v>
      </c>
      <c r="F9" s="301" t="str">
        <f t="shared" si="1"/>
        <v>OK</v>
      </c>
      <c r="G9" s="301">
        <f t="shared" si="2"/>
        <v>0</v>
      </c>
      <c r="H9" s="301" t="str">
        <f t="shared" si="3"/>
        <v>OK</v>
      </c>
      <c r="I9" s="309">
        <f t="shared" si="9"/>
        <v>0.625</v>
      </c>
      <c r="J9" s="301" t="str">
        <f t="shared" si="4"/>
        <v>OK</v>
      </c>
      <c r="K9">
        <v>32.9</v>
      </c>
      <c r="L9" s="310" t="s">
        <v>292</v>
      </c>
      <c r="M9" s="314">
        <v>1</v>
      </c>
      <c r="N9" s="338">
        <v>1</v>
      </c>
      <c r="O9" s="312">
        <v>1</v>
      </c>
      <c r="P9" s="312">
        <v>0</v>
      </c>
      <c r="Q9" s="312">
        <v>0</v>
      </c>
      <c r="R9" s="312">
        <f>P9/O9</f>
        <v>0</v>
      </c>
      <c r="S9" s="301"/>
      <c r="T9" s="313">
        <f t="shared" si="5"/>
        <v>0.5</v>
      </c>
      <c r="U9" s="301" t="str">
        <f t="shared" si="6"/>
        <v>OK</v>
      </c>
      <c r="X9" s="95"/>
      <c r="Y9" s="95"/>
      <c r="Z9" s="95"/>
      <c r="AA9" s="95"/>
    </row>
    <row r="10" spans="1:27" ht="15">
      <c r="A10" s="305">
        <f t="shared" si="10"/>
        <v>1.125</v>
      </c>
      <c r="B10" s="306">
        <v>0.75</v>
      </c>
      <c r="C10" s="307">
        <f t="shared" si="7"/>
        <v>1</v>
      </c>
      <c r="D10" s="560">
        <f t="shared" si="8"/>
        <v>0.75</v>
      </c>
      <c r="E10" s="560">
        <f t="shared" si="0"/>
        <v>0.3125</v>
      </c>
      <c r="F10" s="301" t="str">
        <f t="shared" si="1"/>
        <v>OK</v>
      </c>
      <c r="G10" s="301">
        <f t="shared" si="2"/>
        <v>0</v>
      </c>
      <c r="H10" s="301" t="str">
        <f t="shared" si="3"/>
        <v>OK</v>
      </c>
      <c r="I10" s="309">
        <f t="shared" si="9"/>
        <v>0.6875</v>
      </c>
      <c r="J10" s="301" t="str">
        <f t="shared" si="4"/>
        <v>OK</v>
      </c>
      <c r="K10">
        <v>33.2</v>
      </c>
      <c r="L10" s="310" t="s">
        <v>293</v>
      </c>
      <c r="M10" s="558">
        <f>1.25</f>
        <v>1.25</v>
      </c>
      <c r="N10" s="558">
        <v>1.25</v>
      </c>
      <c r="O10" s="312">
        <v>2</v>
      </c>
      <c r="P10" s="309">
        <v>0.75</v>
      </c>
      <c r="Q10" s="309">
        <v>0.75</v>
      </c>
      <c r="R10" s="309">
        <f>P10/(O10-1)</f>
        <v>0.75</v>
      </c>
      <c r="S10" s="301" t="str">
        <f aca="true" t="shared" si="11" ref="S10:S16">IF(R10&lt;$S$26,"N/G",IF(R10&gt;$T$32,"N/G","OK"))</f>
        <v>OK</v>
      </c>
      <c r="T10" s="313">
        <f t="shared" si="5"/>
        <v>0.25</v>
      </c>
      <c r="U10" s="301" t="str">
        <f t="shared" si="6"/>
        <v>N/G</v>
      </c>
      <c r="X10" s="95"/>
      <c r="Y10" s="95"/>
      <c r="Z10" s="95"/>
      <c r="AA10" s="95"/>
    </row>
    <row r="11" spans="1:27" ht="15">
      <c r="A11" s="305">
        <f t="shared" si="10"/>
        <v>1.25</v>
      </c>
      <c r="B11" s="306">
        <v>1</v>
      </c>
      <c r="C11" s="307">
        <f t="shared" si="7"/>
        <v>1</v>
      </c>
      <c r="D11" s="560">
        <f t="shared" si="8"/>
        <v>1</v>
      </c>
      <c r="E11" s="560">
        <f t="shared" si="0"/>
        <v>0.25</v>
      </c>
      <c r="F11" s="301" t="str">
        <f t="shared" si="1"/>
        <v>OK</v>
      </c>
      <c r="G11" s="301">
        <f t="shared" si="2"/>
        <v>0</v>
      </c>
      <c r="H11" s="301" t="str">
        <f t="shared" si="3"/>
        <v>OK</v>
      </c>
      <c r="I11" s="309">
        <f t="shared" si="9"/>
        <v>0.75</v>
      </c>
      <c r="J11" s="301" t="str">
        <f t="shared" si="4"/>
        <v>OK</v>
      </c>
      <c r="K11">
        <v>33.5</v>
      </c>
      <c r="L11" s="310" t="s">
        <v>294</v>
      </c>
      <c r="M11" s="315">
        <v>1.5</v>
      </c>
      <c r="N11" s="338">
        <v>1.5</v>
      </c>
      <c r="O11" s="312">
        <v>2</v>
      </c>
      <c r="P11" s="309">
        <v>0.75</v>
      </c>
      <c r="Q11" s="309">
        <v>0.75</v>
      </c>
      <c r="R11" s="309">
        <f>P11/(O11-1)</f>
        <v>0.75</v>
      </c>
      <c r="S11" s="301" t="str">
        <f t="shared" si="11"/>
        <v>OK</v>
      </c>
      <c r="T11" s="313">
        <f t="shared" si="5"/>
        <v>0.375</v>
      </c>
      <c r="U11" s="301" t="str">
        <f t="shared" si="6"/>
        <v>OK</v>
      </c>
      <c r="X11" s="95"/>
      <c r="Y11" s="95"/>
      <c r="Z11" s="95"/>
      <c r="AA11" s="95"/>
    </row>
    <row r="12" spans="1:27" ht="15">
      <c r="A12" s="305">
        <f t="shared" si="10"/>
        <v>1.375</v>
      </c>
      <c r="B12" s="556">
        <v>1</v>
      </c>
      <c r="C12" s="307">
        <f t="shared" si="7"/>
        <v>1</v>
      </c>
      <c r="D12" s="560">
        <f t="shared" si="8"/>
        <v>1</v>
      </c>
      <c r="E12" s="560">
        <f t="shared" si="0"/>
        <v>0.3125</v>
      </c>
      <c r="F12" s="301" t="str">
        <f t="shared" si="1"/>
        <v>OK</v>
      </c>
      <c r="G12" s="301">
        <f t="shared" si="2"/>
        <v>0</v>
      </c>
      <c r="H12" s="301" t="str">
        <f t="shared" si="3"/>
        <v>OK</v>
      </c>
      <c r="I12" s="309">
        <f t="shared" si="9"/>
        <v>0.8125</v>
      </c>
      <c r="J12" s="301" t="str">
        <f t="shared" si="4"/>
        <v>OK</v>
      </c>
      <c r="K12">
        <v>33.8</v>
      </c>
      <c r="L12" s="310" t="s">
        <v>369</v>
      </c>
      <c r="M12" s="315">
        <v>2.125</v>
      </c>
      <c r="N12" s="557">
        <v>2.125</v>
      </c>
      <c r="O12" s="312">
        <v>2</v>
      </c>
      <c r="P12" s="309">
        <v>1.5</v>
      </c>
      <c r="Q12" s="309">
        <v>1.5</v>
      </c>
      <c r="R12" s="309">
        <f>P12/(O12-1)</f>
        <v>1.5</v>
      </c>
      <c r="S12" s="301" t="str">
        <f t="shared" si="11"/>
        <v>OK</v>
      </c>
      <c r="T12" s="313">
        <f t="shared" si="5"/>
        <v>0.3125</v>
      </c>
      <c r="U12" s="301" t="str">
        <f t="shared" si="6"/>
        <v>OK</v>
      </c>
      <c r="X12" s="95"/>
      <c r="Y12" s="95"/>
      <c r="Z12" s="95"/>
      <c r="AA12" s="95"/>
    </row>
    <row r="13" spans="1:27" ht="15">
      <c r="A13" s="305">
        <f t="shared" si="10"/>
        <v>1.5</v>
      </c>
      <c r="B13" s="306">
        <v>1.25</v>
      </c>
      <c r="C13" s="307">
        <f t="shared" si="7"/>
        <v>2</v>
      </c>
      <c r="D13" s="560">
        <f t="shared" si="8"/>
        <v>1.25</v>
      </c>
      <c r="E13" s="560">
        <f t="shared" si="0"/>
        <v>0.25</v>
      </c>
      <c r="F13" s="301" t="str">
        <f t="shared" si="1"/>
        <v>OK</v>
      </c>
      <c r="G13" s="301">
        <f t="shared" si="2"/>
        <v>0.75</v>
      </c>
      <c r="H13" s="301" t="str">
        <f t="shared" si="3"/>
        <v>OK</v>
      </c>
      <c r="I13" s="309">
        <f t="shared" si="9"/>
        <v>0.5</v>
      </c>
      <c r="J13" s="301" t="str">
        <f t="shared" si="4"/>
        <v>OK</v>
      </c>
      <c r="K13">
        <v>32.2</v>
      </c>
      <c r="L13" s="476" t="s">
        <v>370</v>
      </c>
      <c r="M13" s="477">
        <v>2.625</v>
      </c>
      <c r="N13" s="478">
        <v>2.5</v>
      </c>
      <c r="O13" s="479">
        <v>2</v>
      </c>
      <c r="P13" s="480">
        <v>1.5</v>
      </c>
      <c r="Q13" s="480">
        <v>1.5</v>
      </c>
      <c r="R13" s="480">
        <f>P13/(O13-1)</f>
        <v>1.5</v>
      </c>
      <c r="S13" s="481" t="str">
        <f t="shared" si="11"/>
        <v>OK</v>
      </c>
      <c r="T13" s="482">
        <f t="shared" si="5"/>
        <v>0.5</v>
      </c>
      <c r="U13" s="301" t="str">
        <f t="shared" si="6"/>
        <v>OK</v>
      </c>
      <c r="X13" s="95"/>
      <c r="Y13" s="95"/>
      <c r="Z13" s="95"/>
      <c r="AA13" s="95"/>
    </row>
    <row r="14" spans="1:27" ht="15">
      <c r="A14" s="305">
        <f t="shared" si="10"/>
        <v>1.625</v>
      </c>
      <c r="B14" s="306">
        <v>1.25</v>
      </c>
      <c r="C14" s="307">
        <f t="shared" si="7"/>
        <v>2</v>
      </c>
      <c r="D14" s="560">
        <f t="shared" si="8"/>
        <v>1.25</v>
      </c>
      <c r="E14" s="560">
        <f t="shared" si="0"/>
        <v>0.3125</v>
      </c>
      <c r="F14" s="301" t="str">
        <f t="shared" si="1"/>
        <v>OK</v>
      </c>
      <c r="G14" s="301">
        <f t="shared" si="2"/>
        <v>0.75</v>
      </c>
      <c r="H14" s="301" t="str">
        <f t="shared" si="3"/>
        <v>OK</v>
      </c>
      <c r="I14" s="309">
        <f t="shared" si="9"/>
        <v>0.5625</v>
      </c>
      <c r="J14" s="301" t="str">
        <f t="shared" si="4"/>
        <v>OK</v>
      </c>
      <c r="K14">
        <v>32.5</v>
      </c>
      <c r="L14" s="487" t="s">
        <v>348</v>
      </c>
      <c r="M14" s="488">
        <v>3</v>
      </c>
      <c r="N14" s="488">
        <v>3</v>
      </c>
      <c r="O14" s="94">
        <v>2</v>
      </c>
      <c r="P14" s="489">
        <v>2.25</v>
      </c>
      <c r="Q14" s="489">
        <v>2.25</v>
      </c>
      <c r="R14" s="489">
        <v>2.25</v>
      </c>
      <c r="S14" s="75" t="str">
        <f t="shared" si="11"/>
        <v>N/G</v>
      </c>
      <c r="T14" s="490">
        <f t="shared" si="5"/>
        <v>0.375</v>
      </c>
      <c r="U14" s="474" t="str">
        <f t="shared" si="6"/>
        <v>OK</v>
      </c>
      <c r="X14" s="95"/>
      <c r="Y14" s="95"/>
      <c r="Z14" s="95"/>
      <c r="AA14" s="95"/>
    </row>
    <row r="15" spans="1:27" ht="16.5" customHeight="1">
      <c r="A15" s="305">
        <f t="shared" si="10"/>
        <v>1.75</v>
      </c>
      <c r="B15" s="556">
        <v>1.5</v>
      </c>
      <c r="C15" s="307">
        <f t="shared" si="7"/>
        <v>2</v>
      </c>
      <c r="D15" s="560">
        <f t="shared" si="8"/>
        <v>1.5</v>
      </c>
      <c r="E15" s="560">
        <f t="shared" si="0"/>
        <v>0.25</v>
      </c>
      <c r="F15" s="301" t="str">
        <f t="shared" si="1"/>
        <v>OK</v>
      </c>
      <c r="G15" s="301">
        <f t="shared" si="2"/>
        <v>0.75</v>
      </c>
      <c r="H15" s="301" t="str">
        <f t="shared" si="3"/>
        <v>OK</v>
      </c>
      <c r="I15" s="309">
        <f t="shared" si="9"/>
        <v>0.625</v>
      </c>
      <c r="J15" s="301" t="str">
        <f t="shared" si="4"/>
        <v>OK</v>
      </c>
      <c r="K15">
        <v>32.4</v>
      </c>
      <c r="L15" s="487" t="s">
        <v>295</v>
      </c>
      <c r="M15" s="491" t="s">
        <v>296</v>
      </c>
      <c r="N15" s="557">
        <v>2.625</v>
      </c>
      <c r="O15" s="491">
        <v>2</v>
      </c>
      <c r="P15" s="491">
        <v>2</v>
      </c>
      <c r="Q15" s="491">
        <v>2</v>
      </c>
      <c r="R15" s="491">
        <v>2</v>
      </c>
      <c r="S15" s="492" t="str">
        <f t="shared" si="11"/>
        <v>OK</v>
      </c>
      <c r="T15" s="492">
        <f t="shared" si="5"/>
        <v>0.3125</v>
      </c>
      <c r="U15" s="475" t="str">
        <f t="shared" si="6"/>
        <v>OK</v>
      </c>
      <c r="X15" s="95"/>
      <c r="Y15" s="95"/>
      <c r="Z15" s="95"/>
      <c r="AA15" s="95"/>
    </row>
    <row r="16" spans="1:27" ht="15">
      <c r="A16" s="305">
        <f t="shared" si="10"/>
        <v>1.875</v>
      </c>
      <c r="B16" s="306">
        <v>1.5</v>
      </c>
      <c r="C16" s="307">
        <f t="shared" si="7"/>
        <v>2</v>
      </c>
      <c r="D16" s="560">
        <f t="shared" si="8"/>
        <v>1.5</v>
      </c>
      <c r="E16" s="560">
        <f t="shared" si="0"/>
        <v>0.3125</v>
      </c>
      <c r="F16" s="301" t="str">
        <f t="shared" si="1"/>
        <v>OK</v>
      </c>
      <c r="G16" s="301">
        <f t="shared" si="2"/>
        <v>0.75</v>
      </c>
      <c r="H16" s="301" t="str">
        <f t="shared" si="3"/>
        <v>OK</v>
      </c>
      <c r="I16" s="309">
        <f t="shared" si="9"/>
        <v>0.6875</v>
      </c>
      <c r="J16" s="301" t="str">
        <f t="shared" si="4"/>
        <v>OK</v>
      </c>
      <c r="K16">
        <v>32.7</v>
      </c>
      <c r="L16" s="483" t="s">
        <v>297</v>
      </c>
      <c r="M16" s="484" t="s">
        <v>298</v>
      </c>
      <c r="N16" s="485">
        <v>3</v>
      </c>
      <c r="O16" s="485">
        <v>2</v>
      </c>
      <c r="P16" s="485">
        <v>2</v>
      </c>
      <c r="Q16" s="485">
        <v>2</v>
      </c>
      <c r="R16" s="485">
        <v>2</v>
      </c>
      <c r="S16" s="486" t="str">
        <f t="shared" si="11"/>
        <v>OK</v>
      </c>
      <c r="T16" s="486">
        <f t="shared" si="5"/>
        <v>0.5</v>
      </c>
      <c r="U16" s="319" t="str">
        <f t="shared" si="6"/>
        <v>OK</v>
      </c>
      <c r="X16" s="95"/>
      <c r="Y16" s="95"/>
      <c r="Z16" s="95"/>
      <c r="AA16" s="95"/>
    </row>
    <row r="17" spans="1:27" ht="15">
      <c r="A17" s="305">
        <f t="shared" si="10"/>
        <v>2</v>
      </c>
      <c r="B17" s="306">
        <v>1.5</v>
      </c>
      <c r="C17" s="307">
        <f t="shared" si="7"/>
        <v>2</v>
      </c>
      <c r="D17" s="560">
        <f t="shared" si="8"/>
        <v>1.5</v>
      </c>
      <c r="E17" s="560">
        <f t="shared" si="0"/>
        <v>0.375</v>
      </c>
      <c r="F17" s="301" t="str">
        <f t="shared" si="1"/>
        <v>OK</v>
      </c>
      <c r="G17" s="301">
        <f t="shared" si="2"/>
        <v>0.75</v>
      </c>
      <c r="H17" s="301" t="str">
        <f t="shared" si="3"/>
        <v>OK</v>
      </c>
      <c r="I17" s="309">
        <f t="shared" si="9"/>
        <v>0.75</v>
      </c>
      <c r="J17" s="301" t="str">
        <f t="shared" si="4"/>
        <v>OK</v>
      </c>
      <c r="K17">
        <v>33</v>
      </c>
      <c r="L17" s="310"/>
      <c r="M17" s="311"/>
      <c r="N17" s="338"/>
      <c r="O17" s="312"/>
      <c r="P17" s="309"/>
      <c r="Q17" s="309"/>
      <c r="R17" s="309"/>
      <c r="S17" s="301"/>
      <c r="T17" s="313"/>
      <c r="U17" s="301"/>
      <c r="X17" s="95"/>
      <c r="Y17" s="95"/>
      <c r="Z17" s="95"/>
      <c r="AA17" s="95"/>
    </row>
    <row r="18" spans="1:27" ht="15">
      <c r="A18" s="305">
        <f t="shared" si="10"/>
        <v>2.125</v>
      </c>
      <c r="B18" s="306">
        <v>1.5</v>
      </c>
      <c r="C18" s="307">
        <f t="shared" si="7"/>
        <v>2</v>
      </c>
      <c r="D18" s="560">
        <f t="shared" si="8"/>
        <v>1.5</v>
      </c>
      <c r="E18" s="560">
        <f t="shared" si="0"/>
        <v>0.4375</v>
      </c>
      <c r="F18" s="301" t="str">
        <f t="shared" si="1"/>
        <v>OK</v>
      </c>
      <c r="G18" s="301">
        <f t="shared" si="2"/>
        <v>0.75</v>
      </c>
      <c r="H18" s="301" t="str">
        <f t="shared" si="3"/>
        <v>OK</v>
      </c>
      <c r="I18" s="309">
        <f t="shared" si="9"/>
        <v>0.8125</v>
      </c>
      <c r="J18" s="301" t="str">
        <f t="shared" si="4"/>
        <v>OK</v>
      </c>
      <c r="K18">
        <v>33.3</v>
      </c>
      <c r="L18" s="310" t="s">
        <v>371</v>
      </c>
      <c r="M18" s="311">
        <v>3.625</v>
      </c>
      <c r="N18" s="557">
        <v>3.625</v>
      </c>
      <c r="O18" s="312">
        <v>3</v>
      </c>
      <c r="P18" s="309">
        <v>1.5</v>
      </c>
      <c r="Q18" s="312">
        <v>3</v>
      </c>
      <c r="R18" s="309">
        <v>1.5</v>
      </c>
      <c r="S18" s="301" t="str">
        <f>IF(R18&lt;$S$26,"N/G",IF(R18&gt;$T$32,"N/G","OK"))</f>
        <v>OK</v>
      </c>
      <c r="T18" s="313">
        <f>(N18-Q18)/2</f>
        <v>0.3125</v>
      </c>
      <c r="U18" s="301" t="str">
        <f>IF(T18&lt;$S$27,"N/G",IF(T18&gt;$T$33,"N/G","OK"))</f>
        <v>OK</v>
      </c>
      <c r="X18" s="95"/>
      <c r="Y18" s="95"/>
      <c r="Z18" s="95"/>
      <c r="AA18" s="95"/>
    </row>
    <row r="19" spans="1:27" ht="15.75" customHeight="1">
      <c r="A19" s="305">
        <f t="shared" si="10"/>
        <v>2.25</v>
      </c>
      <c r="B19" s="306">
        <v>1.5</v>
      </c>
      <c r="C19" s="307">
        <f t="shared" si="7"/>
        <v>2</v>
      </c>
      <c r="D19" s="560">
        <f t="shared" si="8"/>
        <v>1.5</v>
      </c>
      <c r="E19" s="560">
        <f t="shared" si="0"/>
        <v>0.5</v>
      </c>
      <c r="F19" s="301" t="str">
        <f t="shared" si="1"/>
        <v>OK</v>
      </c>
      <c r="G19" s="301">
        <f t="shared" si="2"/>
        <v>0.75</v>
      </c>
      <c r="H19" s="301" t="str">
        <f t="shared" si="3"/>
        <v>OK</v>
      </c>
      <c r="I19" s="309">
        <f t="shared" si="9"/>
        <v>0.875</v>
      </c>
      <c r="J19" s="301" t="str">
        <f t="shared" si="4"/>
        <v>OK</v>
      </c>
      <c r="K19">
        <v>33.6</v>
      </c>
      <c r="L19" s="310" t="s">
        <v>299</v>
      </c>
      <c r="M19" s="314">
        <v>4</v>
      </c>
      <c r="N19" s="312">
        <v>4</v>
      </c>
      <c r="O19" s="312">
        <v>3</v>
      </c>
      <c r="P19" s="309">
        <v>1.5</v>
      </c>
      <c r="Q19" s="312">
        <v>3</v>
      </c>
      <c r="R19" s="309">
        <v>1.5</v>
      </c>
      <c r="S19" s="301" t="str">
        <f>IF(R19&lt;$S$26,"N/G",IF(R19&gt;$T$32,"N/G","OK"))</f>
        <v>OK</v>
      </c>
      <c r="T19" s="313">
        <f>(N19-Q19)/2</f>
        <v>0.5</v>
      </c>
      <c r="U19" s="301" t="str">
        <f>IF(T19&lt;$S$27,"N/G",IF(T19&gt;$T$33,"N/G","OK"))</f>
        <v>OK</v>
      </c>
      <c r="X19" s="95"/>
      <c r="Y19" s="95"/>
      <c r="Z19" s="95"/>
      <c r="AA19" s="95"/>
    </row>
    <row r="20" spans="1:27" ht="15">
      <c r="A20" s="305">
        <f t="shared" si="10"/>
        <v>2.375</v>
      </c>
      <c r="B20" s="556">
        <v>2.125</v>
      </c>
      <c r="C20" s="307">
        <f t="shared" si="7"/>
        <v>2</v>
      </c>
      <c r="D20" s="560">
        <f t="shared" si="8"/>
        <v>2.125</v>
      </c>
      <c r="E20" s="560">
        <f t="shared" si="0"/>
        <v>0.25</v>
      </c>
      <c r="F20" s="301" t="str">
        <f t="shared" si="1"/>
        <v>OK</v>
      </c>
      <c r="G20" s="301">
        <f t="shared" si="2"/>
        <v>1.5</v>
      </c>
      <c r="H20" s="301" t="str">
        <f t="shared" si="3"/>
        <v>OK</v>
      </c>
      <c r="I20" s="309">
        <f t="shared" si="9"/>
        <v>0.5625</v>
      </c>
      <c r="J20" s="301" t="str">
        <f t="shared" si="4"/>
        <v>OK</v>
      </c>
      <c r="K20">
        <v>32.8</v>
      </c>
      <c r="L20" s="569" t="s">
        <v>372</v>
      </c>
      <c r="M20" s="570">
        <v>4.625</v>
      </c>
      <c r="N20" s="557">
        <v>4.625</v>
      </c>
      <c r="O20" s="571">
        <v>4</v>
      </c>
      <c r="P20" s="572">
        <v>1.5</v>
      </c>
      <c r="Q20" s="572">
        <v>3.75</v>
      </c>
      <c r="R20" s="572">
        <v>1.5</v>
      </c>
      <c r="S20" s="573" t="str">
        <f>IF(R20&lt;$S$26,"N/G",IF(R20&gt;$T$32,"N/G","OK"))</f>
        <v>OK</v>
      </c>
      <c r="T20" s="574">
        <f>(N20-Q20)/2</f>
        <v>0.4375</v>
      </c>
      <c r="U20" s="573" t="str">
        <f>IF(T20&lt;$S$27,"N/G",IF(T20&gt;$T$33,"N/G","OK"))</f>
        <v>OK</v>
      </c>
      <c r="V20" t="s">
        <v>364</v>
      </c>
      <c r="X20" s="95"/>
      <c r="Y20" s="95"/>
      <c r="Z20" s="95"/>
      <c r="AA20" s="95"/>
    </row>
    <row r="21" spans="1:27" ht="15">
      <c r="A21" s="305">
        <f t="shared" si="10"/>
        <v>2.5</v>
      </c>
      <c r="B21" s="306">
        <v>2.125</v>
      </c>
      <c r="C21" s="307">
        <f t="shared" si="7"/>
        <v>2</v>
      </c>
      <c r="D21" s="560">
        <f t="shared" si="8"/>
        <v>2.125</v>
      </c>
      <c r="E21" s="560">
        <f t="shared" si="0"/>
        <v>0.3125</v>
      </c>
      <c r="F21" s="301" t="str">
        <f t="shared" si="1"/>
        <v>OK</v>
      </c>
      <c r="G21" s="301">
        <f t="shared" si="2"/>
        <v>1.5</v>
      </c>
      <c r="H21" s="301" t="str">
        <f t="shared" si="3"/>
        <v>OK</v>
      </c>
      <c r="I21" s="309">
        <f t="shared" si="9"/>
        <v>0.625</v>
      </c>
      <c r="J21" s="301" t="str">
        <f t="shared" si="4"/>
        <v>OK</v>
      </c>
      <c r="K21">
        <v>33</v>
      </c>
      <c r="L21" s="464" t="s">
        <v>372</v>
      </c>
      <c r="M21" s="460" t="s">
        <v>373</v>
      </c>
      <c r="N21" s="557">
        <v>4.625</v>
      </c>
      <c r="O21" s="461">
        <v>3</v>
      </c>
      <c r="P21" s="462">
        <v>2</v>
      </c>
      <c r="Q21" s="462">
        <v>4</v>
      </c>
      <c r="R21" s="462">
        <v>2</v>
      </c>
      <c r="S21" s="463" t="str">
        <f>IF(R21&lt;$S$26,"N/G",IF(R21&gt;$T$32,"N/G","OK"))</f>
        <v>OK</v>
      </c>
      <c r="T21" s="463">
        <f>(N21-Q21)/2</f>
        <v>0.3125</v>
      </c>
      <c r="U21" s="463" t="str">
        <f>IF(T21&lt;$S$27,"N/G",IF(T21&gt;$T$33,"N/G","OK"))</f>
        <v>OK</v>
      </c>
      <c r="X21" s="95"/>
      <c r="Y21" s="95"/>
      <c r="Z21" s="95"/>
      <c r="AA21" s="95"/>
    </row>
    <row r="22" spans="1:27" ht="12.75">
      <c r="A22" s="305">
        <f t="shared" si="10"/>
        <v>2.625</v>
      </c>
      <c r="B22" s="306">
        <v>2.125</v>
      </c>
      <c r="C22" s="307">
        <f t="shared" si="7"/>
        <v>2</v>
      </c>
      <c r="D22" s="560">
        <f t="shared" si="8"/>
        <v>2.125</v>
      </c>
      <c r="E22" s="560">
        <f t="shared" si="0"/>
        <v>0.375</v>
      </c>
      <c r="F22" s="301" t="str">
        <f t="shared" si="1"/>
        <v>OK</v>
      </c>
      <c r="G22" s="301">
        <f aca="true" t="shared" si="12" ref="G22:G30">VLOOKUP(B22,$M$7:$R$21,6,FALSE)</f>
        <v>1.5</v>
      </c>
      <c r="H22" s="301" t="str">
        <f t="shared" si="3"/>
        <v>OK</v>
      </c>
      <c r="I22" s="309">
        <f t="shared" si="9"/>
        <v>0.6875</v>
      </c>
      <c r="J22" s="301" t="str">
        <f t="shared" si="4"/>
        <v>OK</v>
      </c>
      <c r="K22">
        <v>33.2</v>
      </c>
      <c r="X22" s="95"/>
      <c r="Y22" s="95"/>
      <c r="Z22" s="95"/>
      <c r="AA22" s="95"/>
    </row>
    <row r="23" spans="1:27" ht="12.75">
      <c r="A23" s="660">
        <f t="shared" si="10"/>
        <v>2.75</v>
      </c>
      <c r="B23" s="306">
        <v>2.125</v>
      </c>
      <c r="C23" s="660">
        <f aca="true" t="shared" si="13" ref="C23:C31">VLOOKUP(B23,$M$7:$P$21,3,FALSE)</f>
        <v>2</v>
      </c>
      <c r="D23" s="559">
        <f aca="true" t="shared" si="14" ref="D23:D31">VLOOKUP(B23,$M$7:$R$21,2,FALSE)</f>
        <v>2.125</v>
      </c>
      <c r="E23" s="559">
        <f t="shared" si="0"/>
        <v>0.4375</v>
      </c>
      <c r="F23" s="313" t="str">
        <f t="shared" si="1"/>
        <v>OK</v>
      </c>
      <c r="G23" s="301">
        <f t="shared" si="12"/>
        <v>1.5</v>
      </c>
      <c r="H23" s="313" t="str">
        <f t="shared" si="3"/>
        <v>OK</v>
      </c>
      <c r="I23" s="661">
        <f aca="true" t="shared" si="15" ref="I23:I31">((A23+0.25)-VLOOKUP(B23,$M$7:$R$21,5,FALSE))/2</f>
        <v>0.75</v>
      </c>
      <c r="J23" s="313" t="str">
        <f t="shared" si="4"/>
        <v>OK</v>
      </c>
      <c r="K23">
        <v>33.5</v>
      </c>
      <c r="X23" s="95"/>
      <c r="Y23" s="95"/>
      <c r="Z23" s="95"/>
      <c r="AA23" s="95"/>
    </row>
    <row r="24" spans="1:27" ht="12.75">
      <c r="A24" s="321">
        <f t="shared" si="10"/>
        <v>2.875</v>
      </c>
      <c r="B24" s="317" t="s">
        <v>296</v>
      </c>
      <c r="C24" s="321">
        <f t="shared" si="13"/>
        <v>2</v>
      </c>
      <c r="D24" s="561">
        <f t="shared" si="14"/>
        <v>2.625</v>
      </c>
      <c r="E24" s="561">
        <f t="shared" si="0"/>
        <v>0.25</v>
      </c>
      <c r="F24" s="317" t="str">
        <f t="shared" si="1"/>
        <v>OK</v>
      </c>
      <c r="G24" s="301">
        <f t="shared" si="12"/>
        <v>2</v>
      </c>
      <c r="H24" s="317" t="str">
        <f t="shared" si="3"/>
        <v>OK</v>
      </c>
      <c r="I24" s="322">
        <f t="shared" si="15"/>
        <v>0.5625</v>
      </c>
      <c r="J24" s="317" t="str">
        <f t="shared" si="4"/>
        <v>OK</v>
      </c>
      <c r="K24">
        <v>32.6</v>
      </c>
      <c r="M24" s="320" t="s">
        <v>300</v>
      </c>
      <c r="X24" s="95"/>
      <c r="Y24" s="95"/>
      <c r="Z24" s="95"/>
      <c r="AA24" s="95"/>
    </row>
    <row r="25" spans="1:27" ht="12.75">
      <c r="A25" s="321">
        <f t="shared" si="10"/>
        <v>3</v>
      </c>
      <c r="B25" s="317" t="s">
        <v>296</v>
      </c>
      <c r="C25" s="321">
        <f t="shared" si="13"/>
        <v>2</v>
      </c>
      <c r="D25" s="561">
        <f t="shared" si="14"/>
        <v>2.625</v>
      </c>
      <c r="E25" s="561">
        <f t="shared" si="0"/>
        <v>0.3125</v>
      </c>
      <c r="F25" s="317" t="str">
        <f t="shared" si="1"/>
        <v>OK</v>
      </c>
      <c r="G25" s="301">
        <f t="shared" si="12"/>
        <v>2</v>
      </c>
      <c r="H25" s="317" t="str">
        <f t="shared" si="3"/>
        <v>OK</v>
      </c>
      <c r="I25" s="322">
        <f t="shared" si="15"/>
        <v>0.625</v>
      </c>
      <c r="J25" s="317" t="str">
        <f t="shared" si="4"/>
        <v>OK</v>
      </c>
      <c r="K25">
        <v>32.9</v>
      </c>
      <c r="N25"/>
      <c r="P25" s="187" t="s">
        <v>301</v>
      </c>
      <c r="Q25" s="187"/>
      <c r="X25" s="95"/>
      <c r="Y25" s="95"/>
      <c r="Z25" s="95"/>
      <c r="AA25" s="95"/>
    </row>
    <row r="26" spans="1:27" ht="12.75">
      <c r="A26" s="321">
        <v>3.125</v>
      </c>
      <c r="B26" s="317" t="s">
        <v>296</v>
      </c>
      <c r="C26" s="321">
        <f t="shared" si="13"/>
        <v>2</v>
      </c>
      <c r="D26" s="561">
        <f t="shared" si="14"/>
        <v>2.625</v>
      </c>
      <c r="E26" s="561">
        <f t="shared" si="0"/>
        <v>0.375</v>
      </c>
      <c r="F26" s="317" t="str">
        <f t="shared" si="1"/>
        <v>OK</v>
      </c>
      <c r="G26" s="301">
        <f t="shared" si="12"/>
        <v>2</v>
      </c>
      <c r="H26" s="317" t="str">
        <f t="shared" si="3"/>
        <v>OK</v>
      </c>
      <c r="I26" s="322">
        <f t="shared" si="15"/>
        <v>0.6875</v>
      </c>
      <c r="J26" s="317" t="str">
        <f t="shared" si="4"/>
        <v>OK</v>
      </c>
      <c r="K26">
        <v>33.2</v>
      </c>
      <c r="M26" s="323"/>
      <c r="N26" s="324"/>
      <c r="O26" s="325"/>
      <c r="P26" s="325"/>
      <c r="Q26" s="325"/>
      <c r="R26" s="326" t="s">
        <v>302</v>
      </c>
      <c r="S26" s="301">
        <v>0.75</v>
      </c>
      <c r="T26" s="327" t="s">
        <v>284</v>
      </c>
      <c r="U26" s="316"/>
      <c r="X26" s="95"/>
      <c r="Y26" s="95"/>
      <c r="Z26" s="95"/>
      <c r="AA26" s="95"/>
    </row>
    <row r="27" spans="1:27" ht="12.75">
      <c r="A27" s="328">
        <v>3.25</v>
      </c>
      <c r="B27" s="329" t="s">
        <v>298</v>
      </c>
      <c r="C27" s="318">
        <f t="shared" si="13"/>
        <v>2</v>
      </c>
      <c r="D27" s="562">
        <f t="shared" si="14"/>
        <v>3</v>
      </c>
      <c r="E27" s="562">
        <f t="shared" si="0"/>
        <v>0.25</v>
      </c>
      <c r="F27" s="319" t="str">
        <f t="shared" si="1"/>
        <v>OK</v>
      </c>
      <c r="G27" s="682">
        <f t="shared" si="12"/>
        <v>2</v>
      </c>
      <c r="H27" s="319" t="str">
        <f t="shared" si="3"/>
        <v>OK</v>
      </c>
      <c r="I27" s="330">
        <f t="shared" si="15"/>
        <v>0.75</v>
      </c>
      <c r="J27" s="319" t="str">
        <f t="shared" si="4"/>
        <v>OK</v>
      </c>
      <c r="K27">
        <v>32.8</v>
      </c>
      <c r="M27" s="323"/>
      <c r="N27" s="324"/>
      <c r="O27" s="325"/>
      <c r="P27" s="325"/>
      <c r="Q27" s="325"/>
      <c r="R27" s="326" t="s">
        <v>303</v>
      </c>
      <c r="S27" s="311">
        <v>0.3125</v>
      </c>
      <c r="T27" s="327" t="s">
        <v>290</v>
      </c>
      <c r="U27" s="316"/>
      <c r="X27" s="95"/>
      <c r="Y27" s="95"/>
      <c r="Z27" s="95"/>
      <c r="AA27" s="95"/>
    </row>
    <row r="28" spans="1:27" ht="12.75">
      <c r="A28" s="328">
        <f>A27+0.125</f>
        <v>3.375</v>
      </c>
      <c r="B28" s="329" t="s">
        <v>298</v>
      </c>
      <c r="C28" s="318">
        <f t="shared" si="13"/>
        <v>2</v>
      </c>
      <c r="D28" s="562">
        <f t="shared" si="14"/>
        <v>3</v>
      </c>
      <c r="E28" s="562">
        <f t="shared" si="0"/>
        <v>0.3125</v>
      </c>
      <c r="F28" s="319" t="str">
        <f t="shared" si="1"/>
        <v>OK</v>
      </c>
      <c r="G28" s="682">
        <f t="shared" si="12"/>
        <v>2</v>
      </c>
      <c r="H28" s="319" t="str">
        <f t="shared" si="3"/>
        <v>OK</v>
      </c>
      <c r="I28" s="330">
        <f t="shared" si="15"/>
        <v>0.8125</v>
      </c>
      <c r="J28" s="319" t="str">
        <f t="shared" si="4"/>
        <v>OK</v>
      </c>
      <c r="K28">
        <v>33.1</v>
      </c>
      <c r="X28" s="95"/>
      <c r="Y28" s="95"/>
      <c r="Z28" s="95"/>
      <c r="AA28" s="95"/>
    </row>
    <row r="29" spans="1:27" ht="12.75">
      <c r="A29" s="328">
        <f>A28+0.125</f>
        <v>3.5</v>
      </c>
      <c r="B29" s="329" t="s">
        <v>298</v>
      </c>
      <c r="C29" s="318">
        <f t="shared" si="13"/>
        <v>2</v>
      </c>
      <c r="D29" s="562">
        <f t="shared" si="14"/>
        <v>3</v>
      </c>
      <c r="E29" s="562">
        <f t="shared" si="0"/>
        <v>0.375</v>
      </c>
      <c r="F29" s="319" t="str">
        <f t="shared" si="1"/>
        <v>OK</v>
      </c>
      <c r="G29" s="682">
        <f t="shared" si="12"/>
        <v>2</v>
      </c>
      <c r="H29" s="319" t="str">
        <f t="shared" si="3"/>
        <v>OK</v>
      </c>
      <c r="I29" s="330">
        <f t="shared" si="15"/>
        <v>0.875</v>
      </c>
      <c r="J29" s="319" t="str">
        <f t="shared" si="4"/>
        <v>OK</v>
      </c>
      <c r="K29">
        <v>33.4</v>
      </c>
      <c r="N29"/>
      <c r="O29"/>
      <c r="P29"/>
      <c r="Q29"/>
      <c r="X29" s="95"/>
      <c r="Y29" s="95"/>
      <c r="Z29" s="95"/>
      <c r="AA29" s="95"/>
    </row>
    <row r="30" spans="1:27" ht="12.75">
      <c r="A30" s="328">
        <f>A29+0.125</f>
        <v>3.625</v>
      </c>
      <c r="B30" s="329" t="s">
        <v>298</v>
      </c>
      <c r="C30" s="318">
        <f t="shared" si="13"/>
        <v>2</v>
      </c>
      <c r="D30" s="562">
        <f t="shared" si="14"/>
        <v>3</v>
      </c>
      <c r="E30" s="562">
        <f t="shared" si="0"/>
        <v>0.4375</v>
      </c>
      <c r="F30" s="683" t="str">
        <f t="shared" si="1"/>
        <v>OK</v>
      </c>
      <c r="G30" s="682">
        <f t="shared" si="12"/>
        <v>2</v>
      </c>
      <c r="H30" s="319" t="str">
        <f t="shared" si="3"/>
        <v>OK</v>
      </c>
      <c r="I30" s="330">
        <f t="shared" si="15"/>
        <v>0.9375</v>
      </c>
      <c r="J30" s="319" t="str">
        <f t="shared" si="4"/>
        <v>OK</v>
      </c>
      <c r="K30">
        <v>33.7</v>
      </c>
      <c r="N30"/>
      <c r="P30" s="331" t="s">
        <v>304</v>
      </c>
      <c r="Q30" s="331"/>
      <c r="S30" s="301" t="s">
        <v>216</v>
      </c>
      <c r="T30" s="301" t="s">
        <v>217</v>
      </c>
      <c r="U30"/>
      <c r="X30" s="95"/>
      <c r="Y30" s="95"/>
      <c r="Z30" s="95"/>
      <c r="AA30" s="95"/>
    </row>
    <row r="31" spans="1:27" ht="12.75">
      <c r="A31" s="305">
        <v>3.75</v>
      </c>
      <c r="B31" s="329">
        <v>3</v>
      </c>
      <c r="C31" s="307">
        <f t="shared" si="13"/>
        <v>2</v>
      </c>
      <c r="D31" s="560">
        <f t="shared" si="14"/>
        <v>3</v>
      </c>
      <c r="E31" s="560">
        <f t="shared" si="0"/>
        <v>0.5</v>
      </c>
      <c r="F31" s="301" t="str">
        <f t="shared" si="1"/>
        <v>OK</v>
      </c>
      <c r="G31" s="301">
        <f aca="true" t="shared" si="16" ref="G31:G40">VLOOKUP(B31,$M$7:$R$21,6,FALSE)</f>
        <v>2.25</v>
      </c>
      <c r="H31" s="301" t="str">
        <f t="shared" si="3"/>
        <v>N/G</v>
      </c>
      <c r="I31" s="309">
        <f t="shared" si="15"/>
        <v>0.875</v>
      </c>
      <c r="J31" s="313" t="str">
        <f t="shared" si="4"/>
        <v>OK</v>
      </c>
      <c r="K31">
        <v>34</v>
      </c>
      <c r="N31"/>
      <c r="R31" s="2"/>
      <c r="S31" s="301"/>
      <c r="T31" s="301"/>
      <c r="U31"/>
      <c r="X31" s="95"/>
      <c r="Y31" s="95"/>
      <c r="Z31" s="95"/>
      <c r="AA31" s="95"/>
    </row>
    <row r="32" spans="1:27" ht="12.75">
      <c r="A32" s="305">
        <f aca="true" t="shared" si="17" ref="A32:A41">A31+0.125</f>
        <v>3.875</v>
      </c>
      <c r="B32" s="306">
        <v>3.625</v>
      </c>
      <c r="C32" s="307">
        <f aca="true" t="shared" si="18" ref="C32:C41">VLOOKUP(B32,$M$7:$P$21,3,FALSE)</f>
        <v>3</v>
      </c>
      <c r="D32" s="560">
        <f aca="true" t="shared" si="19" ref="D32:D41">VLOOKUP(B32,$M$7:$R$21,2,FALSE)</f>
        <v>3.625</v>
      </c>
      <c r="E32" s="560">
        <f t="shared" si="0"/>
        <v>0.25</v>
      </c>
      <c r="F32" s="301" t="str">
        <f t="shared" si="1"/>
        <v>OK</v>
      </c>
      <c r="G32" s="301">
        <f t="shared" si="16"/>
        <v>1.5</v>
      </c>
      <c r="H32" s="301" t="str">
        <f t="shared" si="3"/>
        <v>OK</v>
      </c>
      <c r="I32" s="309">
        <f aca="true" t="shared" si="20" ref="I32:I41">((A32+0.25)-VLOOKUP(B32,$M$7:$R$21,5,FALSE))/2</f>
        <v>0.5625</v>
      </c>
      <c r="J32" s="313" t="str">
        <f t="shared" si="4"/>
        <v>OK</v>
      </c>
      <c r="K32">
        <v>33.3</v>
      </c>
      <c r="M32" s="323"/>
      <c r="N32" s="324"/>
      <c r="O32" s="325"/>
      <c r="P32" s="325"/>
      <c r="Q32" s="325"/>
      <c r="R32" s="326" t="s">
        <v>305</v>
      </c>
      <c r="S32" s="301" t="s">
        <v>306</v>
      </c>
      <c r="T32" s="332">
        <v>2</v>
      </c>
      <c r="U32" s="459" t="s">
        <v>284</v>
      </c>
      <c r="X32" s="95"/>
      <c r="Y32" s="95"/>
      <c r="Z32" s="95"/>
      <c r="AA32" s="95"/>
    </row>
    <row r="33" spans="1:27" ht="12.75">
      <c r="A33" s="305">
        <f t="shared" si="17"/>
        <v>4</v>
      </c>
      <c r="B33" s="306">
        <v>3.625</v>
      </c>
      <c r="C33" s="307">
        <f t="shared" si="18"/>
        <v>3</v>
      </c>
      <c r="D33" s="560">
        <f t="shared" si="19"/>
        <v>3.625</v>
      </c>
      <c r="E33" s="560">
        <f t="shared" si="0"/>
        <v>0.3125</v>
      </c>
      <c r="F33" s="301" t="str">
        <f t="shared" si="1"/>
        <v>OK</v>
      </c>
      <c r="G33" s="301">
        <f t="shared" si="16"/>
        <v>1.5</v>
      </c>
      <c r="H33" s="301" t="str">
        <f t="shared" si="3"/>
        <v>OK</v>
      </c>
      <c r="I33" s="309">
        <f t="shared" si="20"/>
        <v>0.625</v>
      </c>
      <c r="J33" s="313" t="str">
        <f t="shared" si="4"/>
        <v>OK</v>
      </c>
      <c r="K33">
        <v>33.6</v>
      </c>
      <c r="M33" s="323"/>
      <c r="N33" s="324"/>
      <c r="O33" s="325"/>
      <c r="P33" s="325"/>
      <c r="Q33" s="325"/>
      <c r="R33" s="326" t="s">
        <v>307</v>
      </c>
      <c r="S33" s="301" t="s">
        <v>306</v>
      </c>
      <c r="T33" s="334" t="s">
        <v>306</v>
      </c>
      <c r="U33" s="333"/>
      <c r="X33" s="95"/>
      <c r="Y33" s="95"/>
      <c r="Z33" s="95"/>
      <c r="AA33" s="95"/>
    </row>
    <row r="34" spans="1:27" ht="12.75">
      <c r="A34" s="305">
        <f t="shared" si="17"/>
        <v>4.125</v>
      </c>
      <c r="B34" s="306">
        <v>3.625</v>
      </c>
      <c r="C34" s="307">
        <f t="shared" si="18"/>
        <v>3</v>
      </c>
      <c r="D34" s="560">
        <f t="shared" si="19"/>
        <v>3.625</v>
      </c>
      <c r="E34" s="560">
        <f t="shared" si="0"/>
        <v>0.375</v>
      </c>
      <c r="F34" s="301" t="str">
        <f t="shared" si="1"/>
        <v>OK</v>
      </c>
      <c r="G34" s="301">
        <f t="shared" si="16"/>
        <v>1.5</v>
      </c>
      <c r="H34" s="301" t="str">
        <f t="shared" si="3"/>
        <v>OK</v>
      </c>
      <c r="I34" s="309">
        <f t="shared" si="20"/>
        <v>0.6875</v>
      </c>
      <c r="J34" s="313" t="str">
        <f t="shared" si="4"/>
        <v>OK</v>
      </c>
      <c r="K34">
        <v>34</v>
      </c>
      <c r="M34" s="323"/>
      <c r="N34" s="324"/>
      <c r="O34" s="335"/>
      <c r="P34" s="325"/>
      <c r="Q34" s="325"/>
      <c r="R34" s="336" t="s">
        <v>308</v>
      </c>
      <c r="S34" s="559">
        <v>0.1875</v>
      </c>
      <c r="T34" s="559">
        <v>0.625</v>
      </c>
      <c r="U34" s="459" t="s">
        <v>283</v>
      </c>
      <c r="X34" s="95"/>
      <c r="Y34" s="95"/>
      <c r="Z34" s="95"/>
      <c r="AA34" s="95"/>
    </row>
    <row r="35" spans="1:27" ht="12.75">
      <c r="A35" s="305">
        <f t="shared" si="17"/>
        <v>4.25</v>
      </c>
      <c r="B35" s="306">
        <v>4</v>
      </c>
      <c r="C35" s="307">
        <f t="shared" si="18"/>
        <v>3</v>
      </c>
      <c r="D35" s="560">
        <f t="shared" si="19"/>
        <v>4</v>
      </c>
      <c r="E35" s="560">
        <f t="shared" si="0"/>
        <v>0.25</v>
      </c>
      <c r="F35" s="301" t="str">
        <f t="shared" si="1"/>
        <v>OK</v>
      </c>
      <c r="G35" s="301">
        <f t="shared" si="16"/>
        <v>1.5</v>
      </c>
      <c r="H35" s="301" t="str">
        <f t="shared" si="3"/>
        <v>OK</v>
      </c>
      <c r="I35" s="309">
        <f t="shared" si="20"/>
        <v>0.75</v>
      </c>
      <c r="J35" s="313" t="str">
        <f t="shared" si="4"/>
        <v>OK</v>
      </c>
      <c r="K35">
        <v>34</v>
      </c>
      <c r="M35" s="323"/>
      <c r="N35" s="325"/>
      <c r="O35" s="335"/>
      <c r="P35" s="325"/>
      <c r="Q35" s="325"/>
      <c r="R35" s="336" t="s">
        <v>309</v>
      </c>
      <c r="S35" s="402">
        <v>0.43</v>
      </c>
      <c r="T35" s="403">
        <v>1.25</v>
      </c>
      <c r="U35" s="459" t="s">
        <v>285</v>
      </c>
      <c r="X35" s="95"/>
      <c r="Y35" s="95"/>
      <c r="Z35" s="95"/>
      <c r="AA35" s="95"/>
    </row>
    <row r="36" spans="1:27" ht="12.75">
      <c r="A36" s="305">
        <f t="shared" si="17"/>
        <v>4.375</v>
      </c>
      <c r="B36" s="306">
        <v>4</v>
      </c>
      <c r="C36" s="307">
        <f t="shared" si="18"/>
        <v>3</v>
      </c>
      <c r="D36" s="560">
        <f t="shared" si="19"/>
        <v>4</v>
      </c>
      <c r="E36" s="560">
        <f t="shared" si="0"/>
        <v>0.3125</v>
      </c>
      <c r="F36" s="301" t="str">
        <f t="shared" si="1"/>
        <v>OK</v>
      </c>
      <c r="G36" s="301">
        <f t="shared" si="16"/>
        <v>1.5</v>
      </c>
      <c r="H36" s="301" t="str">
        <f t="shared" si="3"/>
        <v>OK</v>
      </c>
      <c r="I36" s="309">
        <f t="shared" si="20"/>
        <v>0.8125</v>
      </c>
      <c r="J36" s="313" t="str">
        <f t="shared" si="4"/>
        <v>OK</v>
      </c>
      <c r="K36">
        <v>34.4</v>
      </c>
      <c r="M36" s="320" t="s">
        <v>300</v>
      </c>
      <c r="X36" s="95"/>
      <c r="Y36" s="95"/>
      <c r="Z36" s="95"/>
      <c r="AA36" s="95"/>
    </row>
    <row r="37" spans="1:27" ht="12.75">
      <c r="A37" s="305">
        <f t="shared" si="17"/>
        <v>4.5</v>
      </c>
      <c r="B37" s="306">
        <v>4</v>
      </c>
      <c r="C37" s="307">
        <f t="shared" si="18"/>
        <v>3</v>
      </c>
      <c r="D37" s="560">
        <f t="shared" si="19"/>
        <v>4</v>
      </c>
      <c r="E37" s="560">
        <f t="shared" si="0"/>
        <v>0.375</v>
      </c>
      <c r="F37" s="301" t="str">
        <f t="shared" si="1"/>
        <v>OK</v>
      </c>
      <c r="G37" s="301">
        <f t="shared" si="16"/>
        <v>1.5</v>
      </c>
      <c r="H37" s="301" t="str">
        <f t="shared" si="3"/>
        <v>OK</v>
      </c>
      <c r="I37" s="309">
        <f t="shared" si="20"/>
        <v>0.875</v>
      </c>
      <c r="J37" s="313" t="str">
        <f t="shared" si="4"/>
        <v>OK</v>
      </c>
      <c r="K37">
        <v>34.8</v>
      </c>
      <c r="N37"/>
      <c r="P37" s="187" t="s">
        <v>301</v>
      </c>
      <c r="Q37" s="187"/>
      <c r="X37" s="95"/>
      <c r="Y37" s="95"/>
      <c r="Z37" s="95"/>
      <c r="AA37" s="95"/>
    </row>
    <row r="38" spans="1:27" ht="12.75">
      <c r="A38" s="305">
        <f t="shared" si="17"/>
        <v>4.625</v>
      </c>
      <c r="B38" s="306">
        <v>4</v>
      </c>
      <c r="C38" s="307">
        <f t="shared" si="18"/>
        <v>3</v>
      </c>
      <c r="D38" s="560">
        <f t="shared" si="19"/>
        <v>4</v>
      </c>
      <c r="E38" s="560">
        <f t="shared" si="0"/>
        <v>0.4375</v>
      </c>
      <c r="F38" s="301" t="str">
        <f t="shared" si="1"/>
        <v>OK</v>
      </c>
      <c r="G38" s="301">
        <f t="shared" si="16"/>
        <v>1.5</v>
      </c>
      <c r="H38" s="301" t="str">
        <f t="shared" si="3"/>
        <v>OK</v>
      </c>
      <c r="I38" s="309">
        <f t="shared" si="20"/>
        <v>0.9375</v>
      </c>
      <c r="J38" s="313" t="str">
        <f t="shared" si="4"/>
        <v>OK</v>
      </c>
      <c r="K38">
        <v>35.1</v>
      </c>
      <c r="X38" s="95"/>
      <c r="Y38" s="95"/>
      <c r="Z38" s="95"/>
      <c r="AA38" s="95"/>
    </row>
    <row r="39" spans="1:27" ht="12.75">
      <c r="A39" s="305">
        <f t="shared" si="17"/>
        <v>4.75</v>
      </c>
      <c r="B39" s="306">
        <v>4</v>
      </c>
      <c r="C39" s="307">
        <f t="shared" si="18"/>
        <v>3</v>
      </c>
      <c r="D39" s="560">
        <f t="shared" si="19"/>
        <v>4</v>
      </c>
      <c r="E39" s="560">
        <f t="shared" si="0"/>
        <v>0.5</v>
      </c>
      <c r="F39" s="301" t="str">
        <f t="shared" si="1"/>
        <v>OK</v>
      </c>
      <c r="G39" s="301">
        <f t="shared" si="16"/>
        <v>1.5</v>
      </c>
      <c r="H39" s="301" t="str">
        <f t="shared" si="3"/>
        <v>OK</v>
      </c>
      <c r="I39" s="309">
        <f t="shared" si="20"/>
        <v>1</v>
      </c>
      <c r="J39" s="313" t="str">
        <f t="shared" si="4"/>
        <v>OK</v>
      </c>
      <c r="K39">
        <v>35.4</v>
      </c>
      <c r="X39" s="95"/>
      <c r="Y39" s="95"/>
      <c r="Z39" s="95"/>
      <c r="AA39" s="95"/>
    </row>
    <row r="40" spans="1:27" ht="12.75">
      <c r="A40" s="305">
        <f t="shared" si="17"/>
        <v>4.875</v>
      </c>
      <c r="B40" s="306" t="s">
        <v>373</v>
      </c>
      <c r="C40" s="307">
        <f t="shared" si="18"/>
        <v>3</v>
      </c>
      <c r="D40" s="560">
        <f t="shared" si="19"/>
        <v>4.625</v>
      </c>
      <c r="E40" s="560">
        <f t="shared" si="0"/>
        <v>0.25</v>
      </c>
      <c r="F40" s="301" t="str">
        <f t="shared" si="1"/>
        <v>OK</v>
      </c>
      <c r="G40" s="301">
        <f t="shared" si="16"/>
        <v>2</v>
      </c>
      <c r="H40" s="301" t="str">
        <f t="shared" si="3"/>
        <v>OK</v>
      </c>
      <c r="I40" s="309">
        <f t="shared" si="20"/>
        <v>0.5625</v>
      </c>
      <c r="J40" s="313" t="str">
        <f t="shared" si="4"/>
        <v>OK</v>
      </c>
      <c r="K40">
        <v>34.3</v>
      </c>
      <c r="X40" s="95"/>
      <c r="Y40" s="95"/>
      <c r="Z40" s="95"/>
      <c r="AA40" s="95"/>
    </row>
    <row r="41" spans="1:27" ht="12.75">
      <c r="A41" s="305">
        <f t="shared" si="17"/>
        <v>5</v>
      </c>
      <c r="B41" s="306" t="s">
        <v>373</v>
      </c>
      <c r="C41" s="307">
        <f t="shared" si="18"/>
        <v>3</v>
      </c>
      <c r="D41" s="560">
        <f t="shared" si="19"/>
        <v>4.625</v>
      </c>
      <c r="E41" s="560">
        <f t="shared" si="0"/>
        <v>0.3125</v>
      </c>
      <c r="F41" s="301" t="str">
        <f t="shared" si="1"/>
        <v>OK</v>
      </c>
      <c r="G41" s="301">
        <f>VLOOKUP(B41,$M$7:$R$21,6,FALSE)</f>
        <v>2</v>
      </c>
      <c r="H41" s="301" t="str">
        <f t="shared" si="3"/>
        <v>OK</v>
      </c>
      <c r="I41" s="309">
        <f t="shared" si="20"/>
        <v>0.625</v>
      </c>
      <c r="J41" s="313" t="str">
        <f t="shared" si="4"/>
        <v>OK</v>
      </c>
      <c r="K41">
        <v>34.5</v>
      </c>
      <c r="X41" s="95"/>
      <c r="Y41" s="95"/>
      <c r="Z41" s="95"/>
      <c r="AA41" s="95"/>
    </row>
    <row r="42" spans="2:27" ht="12.75">
      <c r="B42"/>
      <c r="C42"/>
      <c r="D42"/>
      <c r="E42"/>
      <c r="F42"/>
      <c r="G42"/>
      <c r="H42"/>
      <c r="I42"/>
      <c r="J42"/>
      <c r="X42" s="95"/>
      <c r="Y42" s="95"/>
      <c r="Z42" s="95"/>
      <c r="AA42" s="95"/>
    </row>
    <row r="43" spans="2:27" ht="12.75">
      <c r="B43"/>
      <c r="C43"/>
      <c r="D43"/>
      <c r="E43"/>
      <c r="F43"/>
      <c r="G43"/>
      <c r="H43"/>
      <c r="I43"/>
      <c r="J43"/>
      <c r="X43" s="95"/>
      <c r="Y43" s="95"/>
      <c r="Z43" s="95"/>
      <c r="AA43" s="95"/>
    </row>
    <row r="44" spans="2:27" ht="12.75">
      <c r="B44"/>
      <c r="C44"/>
      <c r="D44"/>
      <c r="E44"/>
      <c r="F44"/>
      <c r="G44"/>
      <c r="H44"/>
      <c r="I44"/>
      <c r="J44"/>
      <c r="X44" s="95"/>
      <c r="Y44" s="95"/>
      <c r="Z44" s="95"/>
      <c r="AA44" s="95"/>
    </row>
    <row r="45" spans="1:27" ht="12.75">
      <c r="A45" s="95"/>
      <c r="B45" s="115"/>
      <c r="C45" s="115"/>
      <c r="D45" s="115"/>
      <c r="E45" s="115"/>
      <c r="F45" s="115"/>
      <c r="G45" s="115"/>
      <c r="H45" s="115"/>
      <c r="I45" s="115"/>
      <c r="J45" s="115"/>
      <c r="K45" s="95"/>
      <c r="L45" s="95"/>
      <c r="X45" s="95"/>
      <c r="Y45" s="95"/>
      <c r="Z45" s="95"/>
      <c r="AA45" s="95"/>
    </row>
    <row r="46" spans="1:27" ht="12.75">
      <c r="A46" s="95"/>
      <c r="B46" s="115"/>
      <c r="C46" s="115"/>
      <c r="D46" s="115"/>
      <c r="E46" s="115"/>
      <c r="F46" s="115"/>
      <c r="G46" s="115"/>
      <c r="H46" s="115"/>
      <c r="I46" s="115"/>
      <c r="J46" s="115"/>
      <c r="K46" s="95"/>
      <c r="L46" s="95"/>
      <c r="X46" s="95"/>
      <c r="Y46" s="95"/>
      <c r="Z46" s="95"/>
      <c r="AA46" s="95"/>
    </row>
    <row r="47" spans="1:27" ht="12.75">
      <c r="A47" s="95"/>
      <c r="B47" s="115"/>
      <c r="C47" s="115"/>
      <c r="D47" s="115"/>
      <c r="E47" s="115"/>
      <c r="F47" s="115"/>
      <c r="G47" s="115"/>
      <c r="H47" s="115"/>
      <c r="I47" s="115"/>
      <c r="J47" s="115"/>
      <c r="K47" s="95"/>
      <c r="L47" s="95"/>
      <c r="X47" s="95"/>
      <c r="Y47" s="95"/>
      <c r="Z47" s="95"/>
      <c r="AA47" s="95"/>
    </row>
    <row r="48" spans="1:27" ht="12.75">
      <c r="A48" s="95"/>
      <c r="B48" s="115"/>
      <c r="C48" s="115"/>
      <c r="D48" s="115"/>
      <c r="E48" s="115"/>
      <c r="F48" s="115"/>
      <c r="G48" s="115"/>
      <c r="H48" s="115"/>
      <c r="I48" s="115"/>
      <c r="J48" s="115"/>
      <c r="K48" s="95"/>
      <c r="L48" s="95"/>
      <c r="X48" s="95"/>
      <c r="Y48" s="95"/>
      <c r="Z48" s="95"/>
      <c r="AA48" s="95"/>
    </row>
    <row r="49" spans="1:27" ht="12.75">
      <c r="A49" s="95"/>
      <c r="B49" s="115"/>
      <c r="C49" s="115"/>
      <c r="D49" s="115"/>
      <c r="E49" s="115"/>
      <c r="F49" s="115"/>
      <c r="G49" s="115"/>
      <c r="H49" s="115"/>
      <c r="I49" s="115"/>
      <c r="J49" s="115"/>
      <c r="K49" s="95"/>
      <c r="L49" s="95"/>
      <c r="X49" s="95"/>
      <c r="Y49" s="95"/>
      <c r="Z49" s="95"/>
      <c r="AA49" s="95"/>
    </row>
    <row r="50" spans="1:27" ht="12.75">
      <c r="A50" s="95"/>
      <c r="B50" s="115"/>
      <c r="C50" s="115"/>
      <c r="D50" s="115"/>
      <c r="E50" s="115"/>
      <c r="F50" s="115"/>
      <c r="G50" s="115"/>
      <c r="H50" s="115"/>
      <c r="I50" s="115"/>
      <c r="J50" s="115"/>
      <c r="K50" s="95"/>
      <c r="L50" s="95"/>
      <c r="X50" s="95"/>
      <c r="Y50" s="95"/>
      <c r="Z50" s="95"/>
      <c r="AA50" s="95"/>
    </row>
    <row r="51" spans="1:27" ht="12.75">
      <c r="A51" s="95"/>
      <c r="B51" s="115"/>
      <c r="C51" s="115"/>
      <c r="D51" s="115"/>
      <c r="E51" s="115"/>
      <c r="F51" s="115"/>
      <c r="G51" s="115"/>
      <c r="H51" s="115"/>
      <c r="I51" s="115"/>
      <c r="J51" s="115"/>
      <c r="K51" s="95"/>
      <c r="L51" s="95"/>
      <c r="X51" s="95"/>
      <c r="Y51" s="95"/>
      <c r="Z51" s="95"/>
      <c r="AA51" s="95"/>
    </row>
    <row r="52" spans="1:27" ht="12.75">
      <c r="A52" s="95"/>
      <c r="B52" s="115"/>
      <c r="C52" s="115"/>
      <c r="D52" s="115"/>
      <c r="E52" s="115"/>
      <c r="F52" s="115"/>
      <c r="G52" s="115"/>
      <c r="H52" s="115"/>
      <c r="I52" s="115"/>
      <c r="J52" s="115"/>
      <c r="K52" s="95"/>
      <c r="L52" s="95"/>
      <c r="X52" s="95"/>
      <c r="Y52" s="95"/>
      <c r="Z52" s="95"/>
      <c r="AA52" s="95"/>
    </row>
    <row r="53" spans="1:27" ht="12.75">
      <c r="A53" s="95"/>
      <c r="B53" s="115"/>
      <c r="C53" s="115"/>
      <c r="D53" s="115"/>
      <c r="E53" s="115"/>
      <c r="F53" s="115"/>
      <c r="G53" s="115"/>
      <c r="H53" s="115"/>
      <c r="I53" s="115"/>
      <c r="J53" s="115"/>
      <c r="K53" s="95"/>
      <c r="L53" s="95"/>
      <c r="X53" s="95"/>
      <c r="Y53" s="95"/>
      <c r="Z53" s="95"/>
      <c r="AA53" s="95"/>
    </row>
    <row r="54" spans="1:27" ht="12.75">
      <c r="A54" s="95"/>
      <c r="B54" s="115"/>
      <c r="C54" s="115"/>
      <c r="D54" s="115"/>
      <c r="E54" s="115"/>
      <c r="F54" s="115"/>
      <c r="G54" s="115"/>
      <c r="H54" s="115"/>
      <c r="I54" s="115"/>
      <c r="J54" s="115"/>
      <c r="K54" s="95"/>
      <c r="L54" s="95"/>
      <c r="X54" s="95"/>
      <c r="Y54" s="95"/>
      <c r="Z54" s="95"/>
      <c r="AA54" s="95"/>
    </row>
    <row r="55" spans="1:27" ht="12.75">
      <c r="A55" s="95"/>
      <c r="B55" s="115"/>
      <c r="C55" s="115"/>
      <c r="D55" s="115"/>
      <c r="E55" s="115"/>
      <c r="F55" s="115"/>
      <c r="G55" s="115"/>
      <c r="H55" s="115"/>
      <c r="I55" s="115"/>
      <c r="J55" s="115"/>
      <c r="K55" s="95"/>
      <c r="L55" s="95"/>
      <c r="X55" s="95"/>
      <c r="Y55" s="95"/>
      <c r="Z55" s="95"/>
      <c r="AA55" s="95"/>
    </row>
    <row r="56" spans="1:27" ht="12.75">
      <c r="A56" s="95"/>
      <c r="B56" s="115"/>
      <c r="C56" s="115"/>
      <c r="D56" s="115"/>
      <c r="E56" s="115"/>
      <c r="F56" s="115"/>
      <c r="G56" s="115"/>
      <c r="H56" s="115"/>
      <c r="I56" s="115"/>
      <c r="J56" s="115"/>
      <c r="K56" s="95"/>
      <c r="L56" s="95"/>
      <c r="X56" s="95"/>
      <c r="Y56" s="95"/>
      <c r="Z56" s="95"/>
      <c r="AA56" s="95"/>
    </row>
    <row r="57" spans="1:27" ht="12.75">
      <c r="A57" s="95"/>
      <c r="B57" s="337"/>
      <c r="C57" s="24"/>
      <c r="D57" s="115"/>
      <c r="E57" s="115"/>
      <c r="F57" s="115"/>
      <c r="G57" s="115"/>
      <c r="H57" s="115"/>
      <c r="I57" s="115"/>
      <c r="J57" s="115"/>
      <c r="K57" s="95"/>
      <c r="L57" s="95"/>
      <c r="X57" s="95"/>
      <c r="Y57" s="95"/>
      <c r="Z57" s="95"/>
      <c r="AA57" s="95"/>
    </row>
    <row r="58" spans="1:27" ht="12.75">
      <c r="A58" s="95"/>
      <c r="B58" s="337"/>
      <c r="C58" s="24"/>
      <c r="D58" s="115"/>
      <c r="E58" s="115"/>
      <c r="F58" s="115"/>
      <c r="G58" s="115"/>
      <c r="H58" s="115"/>
      <c r="I58" s="115"/>
      <c r="J58" s="115"/>
      <c r="K58" s="95"/>
      <c r="L58" s="95"/>
      <c r="X58" s="95"/>
      <c r="Y58" s="95"/>
      <c r="Z58" s="95"/>
      <c r="AA58" s="95"/>
    </row>
    <row r="59" spans="1:27" ht="12.75">
      <c r="A59" s="95"/>
      <c r="B59" s="337"/>
      <c r="C59" s="24"/>
      <c r="D59" s="115"/>
      <c r="E59" s="115"/>
      <c r="F59" s="115"/>
      <c r="G59" s="115"/>
      <c r="H59" s="115"/>
      <c r="I59" s="115"/>
      <c r="J59" s="115"/>
      <c r="K59" s="95"/>
      <c r="L59" s="95"/>
      <c r="X59" s="95"/>
      <c r="Y59" s="95"/>
      <c r="Z59" s="95"/>
      <c r="AA59" s="95"/>
    </row>
    <row r="60" spans="1:27" ht="12.75">
      <c r="A60" s="95"/>
      <c r="B60" s="337"/>
      <c r="C60" s="24"/>
      <c r="D60" s="115"/>
      <c r="E60" s="115"/>
      <c r="F60" s="115"/>
      <c r="G60" s="115"/>
      <c r="H60" s="115"/>
      <c r="I60" s="115"/>
      <c r="J60" s="115"/>
      <c r="K60" s="95"/>
      <c r="L60" s="95"/>
      <c r="X60" s="95"/>
      <c r="Y60" s="95"/>
      <c r="Z60" s="95"/>
      <c r="AA60" s="95"/>
    </row>
    <row r="61" spans="1:27" ht="12.75">
      <c r="A61" s="95"/>
      <c r="B61" s="337"/>
      <c r="C61" s="24"/>
      <c r="D61" s="115"/>
      <c r="E61" s="115"/>
      <c r="F61" s="115"/>
      <c r="G61" s="115"/>
      <c r="H61" s="115"/>
      <c r="I61" s="115"/>
      <c r="J61" s="115"/>
      <c r="K61" s="95"/>
      <c r="L61" s="95"/>
      <c r="X61" s="95"/>
      <c r="Y61" s="95"/>
      <c r="Z61" s="95"/>
      <c r="AA61" s="95"/>
    </row>
    <row r="62" spans="1:27" ht="12.75">
      <c r="A62" s="95"/>
      <c r="B62" s="337"/>
      <c r="C62" s="24"/>
      <c r="D62" s="115"/>
      <c r="E62" s="115"/>
      <c r="F62" s="115"/>
      <c r="G62" s="115"/>
      <c r="H62" s="115"/>
      <c r="I62" s="115"/>
      <c r="J62" s="115"/>
      <c r="K62" s="95"/>
      <c r="L62" s="95"/>
      <c r="X62" s="95"/>
      <c r="Y62" s="95"/>
      <c r="Z62" s="95"/>
      <c r="AA62" s="95"/>
    </row>
    <row r="63" spans="1:27" ht="12.75">
      <c r="A63" s="95"/>
      <c r="B63" s="337"/>
      <c r="C63" s="24"/>
      <c r="D63" s="115"/>
      <c r="E63" s="115"/>
      <c r="F63" s="115"/>
      <c r="G63" s="115"/>
      <c r="H63" s="115"/>
      <c r="I63" s="115"/>
      <c r="J63" s="115"/>
      <c r="K63" s="95"/>
      <c r="L63" s="95"/>
      <c r="X63" s="95"/>
      <c r="Y63" s="95"/>
      <c r="Z63" s="95"/>
      <c r="AA63" s="95"/>
    </row>
    <row r="64" spans="1:27" ht="12.75">
      <c r="A64" s="95"/>
      <c r="B64" s="337"/>
      <c r="C64" s="24"/>
      <c r="D64" s="115"/>
      <c r="E64" s="115"/>
      <c r="F64" s="115"/>
      <c r="G64" s="115"/>
      <c r="H64" s="115"/>
      <c r="I64" s="115"/>
      <c r="J64" s="115"/>
      <c r="K64" s="95"/>
      <c r="L64" s="95"/>
      <c r="X64" s="95"/>
      <c r="Y64" s="95"/>
      <c r="Z64" s="95"/>
      <c r="AA64" s="95"/>
    </row>
    <row r="65" spans="1:27" ht="12.75">
      <c r="A65" s="294"/>
      <c r="B65" s="337"/>
      <c r="C65" s="24"/>
      <c r="D65" s="115"/>
      <c r="E65" s="115"/>
      <c r="F65" s="115"/>
      <c r="G65" s="115"/>
      <c r="H65" s="115"/>
      <c r="I65" s="115"/>
      <c r="J65" s="115"/>
      <c r="K65" s="95"/>
      <c r="L65" s="95"/>
      <c r="X65" s="95"/>
      <c r="Y65" s="95"/>
      <c r="Z65" s="95"/>
      <c r="AA65" s="95"/>
    </row>
    <row r="66" spans="1:27" ht="12.75">
      <c r="A66" s="95"/>
      <c r="B66" s="115"/>
      <c r="C66" s="115"/>
      <c r="D66" s="115"/>
      <c r="E66" s="115"/>
      <c r="F66" s="115"/>
      <c r="G66" s="115"/>
      <c r="H66" s="115"/>
      <c r="I66" s="115"/>
      <c r="J66" s="115"/>
      <c r="K66" s="95"/>
      <c r="L66" s="95"/>
      <c r="X66" s="95"/>
      <c r="Y66" s="95"/>
      <c r="Z66" s="95"/>
      <c r="AA66" s="95"/>
    </row>
    <row r="67" spans="1:27" ht="12.75">
      <c r="A67" s="95"/>
      <c r="B67" s="115"/>
      <c r="C67" s="115"/>
      <c r="D67" s="115"/>
      <c r="E67" s="115"/>
      <c r="F67" s="115"/>
      <c r="G67" s="115"/>
      <c r="H67" s="115"/>
      <c r="I67" s="115"/>
      <c r="J67" s="115"/>
      <c r="K67" s="95"/>
      <c r="L67" s="95"/>
      <c r="X67" s="95"/>
      <c r="Y67" s="95"/>
      <c r="Z67" s="95"/>
      <c r="AA67" s="95"/>
    </row>
    <row r="68" spans="1:27" ht="12.75">
      <c r="A68" s="95"/>
      <c r="B68" s="115"/>
      <c r="C68" s="115"/>
      <c r="D68" s="115"/>
      <c r="E68" s="115"/>
      <c r="F68" s="115"/>
      <c r="G68" s="115"/>
      <c r="H68" s="115"/>
      <c r="I68" s="115"/>
      <c r="J68" s="115"/>
      <c r="K68" s="95"/>
      <c r="L68" s="95"/>
      <c r="X68" s="95"/>
      <c r="Y68" s="95"/>
      <c r="Z68" s="95"/>
      <c r="AA68" s="95"/>
    </row>
    <row r="69" spans="24:27" ht="12.75">
      <c r="X69" s="95"/>
      <c r="Y69" s="95"/>
      <c r="Z69" s="95"/>
      <c r="AA69" s="95"/>
    </row>
    <row r="70" spans="24:27" ht="12.75">
      <c r="X70" s="95"/>
      <c r="Y70" s="95"/>
      <c r="Z70" s="95"/>
      <c r="AA70" s="95"/>
    </row>
    <row r="71" spans="24:27" ht="12.75">
      <c r="X71" s="95"/>
      <c r="Y71" s="95"/>
      <c r="Z71" s="95"/>
      <c r="AA71" s="95"/>
    </row>
    <row r="72" spans="24:27" ht="12.75">
      <c r="X72" s="95"/>
      <c r="Y72" s="95"/>
      <c r="Z72" s="95"/>
      <c r="AA72" s="95"/>
    </row>
    <row r="73" spans="24:27" ht="12.75">
      <c r="X73" s="95"/>
      <c r="Y73" s="95"/>
      <c r="Z73" s="95"/>
      <c r="AA73" s="95"/>
    </row>
    <row r="74" spans="24:27" ht="12.75">
      <c r="X74" s="95"/>
      <c r="Y74" s="95"/>
      <c r="Z74" s="95"/>
      <c r="AA74" s="95"/>
    </row>
    <row r="75" spans="24:27" ht="12.75">
      <c r="X75" s="95"/>
      <c r="Y75" s="95"/>
      <c r="Z75" s="95"/>
      <c r="AA75" s="95"/>
    </row>
    <row r="76" spans="24:27" ht="12.75">
      <c r="X76" s="95"/>
      <c r="Y76" s="95"/>
      <c r="Z76" s="95"/>
      <c r="AA76" s="95"/>
    </row>
    <row r="77" spans="24:27" ht="12.75">
      <c r="X77" s="95"/>
      <c r="Y77" s="95"/>
      <c r="Z77" s="95"/>
      <c r="AA77" s="95"/>
    </row>
    <row r="78" spans="24:27" ht="12.75">
      <c r="X78" s="95"/>
      <c r="Y78" s="95"/>
      <c r="Z78" s="95"/>
      <c r="AA78" s="95"/>
    </row>
    <row r="79" spans="24:27" ht="12.75">
      <c r="X79" s="95"/>
      <c r="Y79" s="95"/>
      <c r="Z79" s="95"/>
      <c r="AA79" s="95"/>
    </row>
    <row r="80" spans="24:27" ht="12.75">
      <c r="X80" s="95"/>
      <c r="Y80" s="95"/>
      <c r="Z80" s="95"/>
      <c r="AA80" s="95"/>
    </row>
    <row r="81" spans="24:27" ht="12.75">
      <c r="X81" s="95"/>
      <c r="Y81" s="95"/>
      <c r="Z81" s="95"/>
      <c r="AA81" s="95"/>
    </row>
    <row r="82" spans="24:27" ht="12.75">
      <c r="X82" s="95"/>
      <c r="Y82" s="95"/>
      <c r="Z82" s="95"/>
      <c r="AA82" s="95"/>
    </row>
    <row r="83" spans="24:27" ht="12.75">
      <c r="X83" s="95"/>
      <c r="Y83" s="95"/>
      <c r="Z83" s="95"/>
      <c r="AA83" s="95"/>
    </row>
    <row r="84" spans="24:27" ht="12.75">
      <c r="X84" s="95"/>
      <c r="Y84" s="95"/>
      <c r="Z84" s="95"/>
      <c r="AA84" s="95"/>
    </row>
    <row r="85" spans="24:27" ht="12.75">
      <c r="X85" s="95"/>
      <c r="Y85" s="95"/>
      <c r="Z85" s="95"/>
      <c r="AA85" s="95"/>
    </row>
    <row r="86" spans="24:27" ht="12.75">
      <c r="X86" s="95"/>
      <c r="Y86" s="95"/>
      <c r="Z86" s="95"/>
      <c r="AA86" s="95"/>
    </row>
    <row r="87" spans="24:27" ht="12.75">
      <c r="X87" s="95"/>
      <c r="Y87" s="95"/>
      <c r="Z87" s="95"/>
      <c r="AA87" s="95"/>
    </row>
    <row r="88" spans="24:27" ht="12.75">
      <c r="X88" s="95"/>
      <c r="Y88" s="95"/>
      <c r="Z88" s="95"/>
      <c r="AA88" s="95"/>
    </row>
    <row r="89" spans="24:27" ht="12.75">
      <c r="X89" s="95"/>
      <c r="Y89" s="95"/>
      <c r="Z89" s="95"/>
      <c r="AA89" s="95"/>
    </row>
    <row r="90" spans="24:27" ht="12.75">
      <c r="X90" s="95"/>
      <c r="Y90" s="95"/>
      <c r="Z90" s="95"/>
      <c r="AA90" s="95"/>
    </row>
    <row r="91" spans="24:27" ht="12.75">
      <c r="X91" s="95"/>
      <c r="Y91" s="95"/>
      <c r="Z91" s="95"/>
      <c r="AA91" s="95"/>
    </row>
    <row r="92" spans="24:27" ht="12.75">
      <c r="X92" s="95"/>
      <c r="Y92" s="95"/>
      <c r="Z92" s="95"/>
      <c r="AA92" s="95"/>
    </row>
    <row r="93" spans="24:27" ht="12.75">
      <c r="X93" s="95"/>
      <c r="Y93" s="95"/>
      <c r="Z93" s="95"/>
      <c r="AA93" s="95"/>
    </row>
    <row r="94" spans="24:27" ht="12.75">
      <c r="X94" s="95"/>
      <c r="Y94" s="95"/>
      <c r="Z94" s="95"/>
      <c r="AA94" s="95"/>
    </row>
    <row r="95" spans="24:27" ht="12.75">
      <c r="X95" s="95"/>
      <c r="Y95" s="95"/>
      <c r="Z95" s="95"/>
      <c r="AA95" s="95"/>
    </row>
    <row r="96" spans="24:27" ht="12.75">
      <c r="X96" s="95"/>
      <c r="Y96" s="95"/>
      <c r="Z96" s="95"/>
      <c r="AA96" s="95"/>
    </row>
    <row r="97" spans="24:27" ht="12.75">
      <c r="X97" s="95"/>
      <c r="Y97" s="95"/>
      <c r="Z97" s="95"/>
      <c r="AA97" s="95"/>
    </row>
    <row r="98" spans="24:27" ht="12.75">
      <c r="X98" s="95"/>
      <c r="Y98" s="95"/>
      <c r="Z98" s="95"/>
      <c r="AA98" s="95"/>
    </row>
    <row r="99" spans="24:27" ht="12.75">
      <c r="X99" s="95"/>
      <c r="Y99" s="95"/>
      <c r="Z99" s="95"/>
      <c r="AA99" s="95"/>
    </row>
    <row r="100" spans="24:27" ht="12.75">
      <c r="X100" s="95"/>
      <c r="Y100" s="95"/>
      <c r="Z100" s="95"/>
      <c r="AA100" s="95"/>
    </row>
    <row r="101" spans="24:27" ht="12.75">
      <c r="X101" s="95"/>
      <c r="Y101" s="95"/>
      <c r="Z101" s="95"/>
      <c r="AA101" s="95"/>
    </row>
    <row r="102" spans="24:27" ht="12.75">
      <c r="X102" s="95"/>
      <c r="Y102" s="95"/>
      <c r="Z102" s="95"/>
      <c r="AA102" s="95"/>
    </row>
    <row r="103" spans="24:27" ht="12.75">
      <c r="X103" s="95"/>
      <c r="Y103" s="95"/>
      <c r="Z103" s="95"/>
      <c r="AA103" s="95"/>
    </row>
    <row r="104" spans="24:27" ht="12.75">
      <c r="X104" s="95"/>
      <c r="Y104" s="95"/>
      <c r="Z104" s="95"/>
      <c r="AA104" s="95"/>
    </row>
    <row r="105" spans="24:27" ht="12.75">
      <c r="X105" s="95"/>
      <c r="Y105" s="95"/>
      <c r="Z105" s="95"/>
      <c r="AA105" s="95"/>
    </row>
    <row r="106" spans="24:27" ht="12.75">
      <c r="X106" s="95"/>
      <c r="Y106" s="95"/>
      <c r="Z106" s="95"/>
      <c r="AA106" s="95"/>
    </row>
  </sheetData>
  <sheetProtection sheet="1" objects="1" scenarios="1"/>
  <mergeCells count="7">
    <mergeCell ref="Q5:Q6"/>
    <mergeCell ref="R5:S5"/>
    <mergeCell ref="T5:U5"/>
    <mergeCell ref="E5:F5"/>
    <mergeCell ref="G5:H5"/>
    <mergeCell ref="I5:J5"/>
    <mergeCell ref="P5:P6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M15"/>
  <sheetViews>
    <sheetView workbookViewId="0" topLeftCell="A1">
      <selection activeCell="L5" sqref="L5"/>
    </sheetView>
  </sheetViews>
  <sheetFormatPr defaultColWidth="9.140625" defaultRowHeight="12.75"/>
  <cols>
    <col min="1" max="1" width="6.421875" style="2" bestFit="1" customWidth="1"/>
    <col min="2" max="2" width="5.8515625" style="2" customWidth="1"/>
    <col min="3" max="3" width="4.57421875" style="2" bestFit="1" customWidth="1"/>
    <col min="4" max="4" width="4.8515625" style="2" bestFit="1" customWidth="1"/>
    <col min="5" max="5" width="8.8515625" style="2" bestFit="1" customWidth="1"/>
    <col min="6" max="6" width="6.00390625" style="2" bestFit="1" customWidth="1"/>
    <col min="7" max="7" width="10.421875" style="2" customWidth="1"/>
    <col min="8" max="8" width="9.140625" style="2" customWidth="1"/>
    <col min="9" max="9" width="9.00390625" style="2" customWidth="1"/>
    <col min="10" max="10" width="12.8515625" style="2" customWidth="1"/>
    <col min="11" max="11" width="18.140625" style="2" customWidth="1"/>
    <col min="12" max="12" width="22.00390625" style="2" customWidth="1"/>
  </cols>
  <sheetData>
    <row r="1" spans="1:12" ht="18" customHeight="1">
      <c r="A1" s="208" t="s">
        <v>259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3" ht="22.5" customHeight="1">
      <c r="A2" s="694" t="s">
        <v>260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</row>
    <row r="3" spans="1:13" ht="22.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2" ht="17.25" customHeight="1">
      <c r="A4" s="75" t="s">
        <v>258</v>
      </c>
      <c r="B4" s="75"/>
      <c r="C4" s="75"/>
      <c r="D4" s="75"/>
      <c r="E4" s="75" t="s">
        <v>252</v>
      </c>
      <c r="F4" s="75" t="s">
        <v>241</v>
      </c>
      <c r="G4" s="75" t="s">
        <v>242</v>
      </c>
      <c r="H4" s="75" t="s">
        <v>242</v>
      </c>
      <c r="I4" s="75" t="s">
        <v>243</v>
      </c>
      <c r="J4" s="75" t="s">
        <v>244</v>
      </c>
      <c r="K4" s="75" t="s">
        <v>245</v>
      </c>
      <c r="L4" s="75" t="s">
        <v>246</v>
      </c>
    </row>
    <row r="5" spans="1:12" ht="34.5" customHeight="1">
      <c r="A5" s="75" t="s">
        <v>114</v>
      </c>
      <c r="B5" s="75" t="s">
        <v>247</v>
      </c>
      <c r="C5" s="75" t="s">
        <v>248</v>
      </c>
      <c r="D5" s="75" t="s">
        <v>11</v>
      </c>
      <c r="E5" s="75" t="s">
        <v>253</v>
      </c>
      <c r="F5" s="75" t="s">
        <v>249</v>
      </c>
      <c r="G5" s="75" t="s">
        <v>250</v>
      </c>
      <c r="H5" s="75" t="s">
        <v>251</v>
      </c>
      <c r="I5" s="146" t="s">
        <v>254</v>
      </c>
      <c r="J5" s="146" t="s">
        <v>255</v>
      </c>
      <c r="K5" s="146" t="s">
        <v>256</v>
      </c>
      <c r="L5" s="146" t="s">
        <v>257</v>
      </c>
    </row>
    <row r="6" spans="1:12" ht="12.75">
      <c r="A6" s="75">
        <v>1</v>
      </c>
      <c r="B6" s="207">
        <v>1100</v>
      </c>
      <c r="C6" s="207">
        <v>32</v>
      </c>
      <c r="D6" s="207">
        <v>1.1</v>
      </c>
      <c r="E6" s="207">
        <v>4</v>
      </c>
      <c r="F6" s="207">
        <v>10</v>
      </c>
      <c r="G6" s="207">
        <v>100</v>
      </c>
      <c r="H6" s="207">
        <v>92</v>
      </c>
      <c r="I6" s="94">
        <f>(B6*C6*60)/(1000*D6)</f>
        <v>1920</v>
      </c>
      <c r="J6" s="94">
        <f>(B6*C6*60)/(1000*D6*E6)</f>
        <v>480</v>
      </c>
      <c r="K6" s="94">
        <f>F6*8.9999*(G6-H6)</f>
        <v>719.992</v>
      </c>
      <c r="L6" s="94">
        <f>(0.06*B6*C6-K6)/(D6*E6)</f>
        <v>316.36545454545455</v>
      </c>
    </row>
    <row r="7" spans="1:12" ht="12.75">
      <c r="A7" s="75">
        <v>2</v>
      </c>
      <c r="B7" s="207">
        <v>600</v>
      </c>
      <c r="C7" s="207">
        <v>32</v>
      </c>
      <c r="D7" s="207">
        <v>2</v>
      </c>
      <c r="E7" s="207">
        <v>1</v>
      </c>
      <c r="F7" s="207">
        <v>8</v>
      </c>
      <c r="G7" s="207">
        <v>79</v>
      </c>
      <c r="H7" s="207">
        <v>68</v>
      </c>
      <c r="I7" s="94">
        <f aca="true" t="shared" si="0" ref="I7:I15">(B7*C7*60)/(1000*D7)</f>
        <v>576</v>
      </c>
      <c r="J7" s="94">
        <f aca="true" t="shared" si="1" ref="J7:J15">(B7*C7*60)/(1000*D7*E7)</f>
        <v>576</v>
      </c>
      <c r="K7" s="94">
        <f aca="true" t="shared" si="2" ref="K7:K15">F7*8.9999*(G7-H7)</f>
        <v>791.9912</v>
      </c>
      <c r="L7" s="94">
        <f aca="true" t="shared" si="3" ref="L7:L15">(0.06*B7*C7-K7)/(D7*E7)</f>
        <v>180.00439999999998</v>
      </c>
    </row>
    <row r="8" spans="1:12" ht="12.75">
      <c r="A8" s="75">
        <v>3</v>
      </c>
      <c r="B8" s="207"/>
      <c r="C8" s="207"/>
      <c r="D8" s="207">
        <v>1</v>
      </c>
      <c r="E8" s="207">
        <v>1</v>
      </c>
      <c r="F8" s="207"/>
      <c r="G8" s="207"/>
      <c r="H8" s="207"/>
      <c r="I8" s="94">
        <f t="shared" si="0"/>
        <v>0</v>
      </c>
      <c r="J8" s="94">
        <f t="shared" si="1"/>
        <v>0</v>
      </c>
      <c r="K8" s="94">
        <f t="shared" si="2"/>
        <v>0</v>
      </c>
      <c r="L8" s="94">
        <f t="shared" si="3"/>
        <v>0</v>
      </c>
    </row>
    <row r="9" spans="1:12" ht="12.75">
      <c r="A9" s="75">
        <v>4</v>
      </c>
      <c r="B9" s="207"/>
      <c r="C9" s="207"/>
      <c r="D9" s="207">
        <v>1</v>
      </c>
      <c r="E9" s="207">
        <v>1</v>
      </c>
      <c r="F9" s="207"/>
      <c r="G9" s="207"/>
      <c r="H9" s="207"/>
      <c r="I9" s="94">
        <f t="shared" si="0"/>
        <v>0</v>
      </c>
      <c r="J9" s="94">
        <f t="shared" si="1"/>
        <v>0</v>
      </c>
      <c r="K9" s="94">
        <f t="shared" si="2"/>
        <v>0</v>
      </c>
      <c r="L9" s="94">
        <f t="shared" si="3"/>
        <v>0</v>
      </c>
    </row>
    <row r="10" spans="1:12" ht="12.75">
      <c r="A10" s="75">
        <v>5</v>
      </c>
      <c r="B10" s="207"/>
      <c r="C10" s="207"/>
      <c r="D10" s="207">
        <v>1</v>
      </c>
      <c r="E10" s="207">
        <v>1</v>
      </c>
      <c r="F10" s="207"/>
      <c r="G10" s="207"/>
      <c r="H10" s="207"/>
      <c r="I10" s="94">
        <f t="shared" si="0"/>
        <v>0</v>
      </c>
      <c r="J10" s="94">
        <f t="shared" si="1"/>
        <v>0</v>
      </c>
      <c r="K10" s="94">
        <f t="shared" si="2"/>
        <v>0</v>
      </c>
      <c r="L10" s="94">
        <f t="shared" si="3"/>
        <v>0</v>
      </c>
    </row>
    <row r="11" spans="1:12" ht="12.75">
      <c r="A11" s="75">
        <v>6</v>
      </c>
      <c r="B11" s="207"/>
      <c r="C11" s="207"/>
      <c r="D11" s="207">
        <v>1</v>
      </c>
      <c r="E11" s="207">
        <v>1</v>
      </c>
      <c r="F11" s="207"/>
      <c r="G11" s="207"/>
      <c r="H11" s="207"/>
      <c r="I11" s="94">
        <f t="shared" si="0"/>
        <v>0</v>
      </c>
      <c r="J11" s="94">
        <f t="shared" si="1"/>
        <v>0</v>
      </c>
      <c r="K11" s="94">
        <f t="shared" si="2"/>
        <v>0</v>
      </c>
      <c r="L11" s="94">
        <f t="shared" si="3"/>
        <v>0</v>
      </c>
    </row>
    <row r="12" spans="1:12" ht="12.75">
      <c r="A12" s="75">
        <v>7</v>
      </c>
      <c r="B12" s="207"/>
      <c r="C12" s="207"/>
      <c r="D12" s="207">
        <v>1</v>
      </c>
      <c r="E12" s="207">
        <v>1</v>
      </c>
      <c r="F12" s="207"/>
      <c r="G12" s="207"/>
      <c r="H12" s="207"/>
      <c r="I12" s="94">
        <f t="shared" si="0"/>
        <v>0</v>
      </c>
      <c r="J12" s="94">
        <f t="shared" si="1"/>
        <v>0</v>
      </c>
      <c r="K12" s="94">
        <f t="shared" si="2"/>
        <v>0</v>
      </c>
      <c r="L12" s="94">
        <f t="shared" si="3"/>
        <v>0</v>
      </c>
    </row>
    <row r="13" spans="1:12" ht="12.75">
      <c r="A13" s="75">
        <v>8</v>
      </c>
      <c r="B13" s="207"/>
      <c r="C13" s="207"/>
      <c r="D13" s="207">
        <v>1</v>
      </c>
      <c r="E13" s="207">
        <v>1</v>
      </c>
      <c r="F13" s="207"/>
      <c r="G13" s="207"/>
      <c r="H13" s="207"/>
      <c r="I13" s="94">
        <f t="shared" si="0"/>
        <v>0</v>
      </c>
      <c r="J13" s="94">
        <f t="shared" si="1"/>
        <v>0</v>
      </c>
      <c r="K13" s="94">
        <f t="shared" si="2"/>
        <v>0</v>
      </c>
      <c r="L13" s="94">
        <f t="shared" si="3"/>
        <v>0</v>
      </c>
    </row>
    <row r="14" spans="1:12" ht="12.75">
      <c r="A14" s="75">
        <v>9</v>
      </c>
      <c r="B14" s="207"/>
      <c r="C14" s="207"/>
      <c r="D14" s="207">
        <v>1</v>
      </c>
      <c r="E14" s="207">
        <v>1</v>
      </c>
      <c r="F14" s="207"/>
      <c r="G14" s="207"/>
      <c r="H14" s="207"/>
      <c r="I14" s="94">
        <f t="shared" si="0"/>
        <v>0</v>
      </c>
      <c r="J14" s="94">
        <f t="shared" si="1"/>
        <v>0</v>
      </c>
      <c r="K14" s="94">
        <f t="shared" si="2"/>
        <v>0</v>
      </c>
      <c r="L14" s="94">
        <f t="shared" si="3"/>
        <v>0</v>
      </c>
    </row>
    <row r="15" spans="1:12" ht="12.75">
      <c r="A15" s="75">
        <v>10</v>
      </c>
      <c r="B15" s="207"/>
      <c r="C15" s="207"/>
      <c r="D15" s="207">
        <v>1</v>
      </c>
      <c r="E15" s="207">
        <v>1</v>
      </c>
      <c r="F15" s="207"/>
      <c r="G15" s="207"/>
      <c r="H15" s="207"/>
      <c r="I15" s="94">
        <f t="shared" si="0"/>
        <v>0</v>
      </c>
      <c r="J15" s="94">
        <f t="shared" si="1"/>
        <v>0</v>
      </c>
      <c r="K15" s="94">
        <f t="shared" si="2"/>
        <v>0</v>
      </c>
      <c r="L15" s="94">
        <f t="shared" si="3"/>
        <v>0</v>
      </c>
    </row>
  </sheetData>
  <sheetProtection sheet="1" objects="1" scenarios="1"/>
  <mergeCells count="1">
    <mergeCell ref="A2:M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2:J29"/>
  <sheetViews>
    <sheetView workbookViewId="0" topLeftCell="A1">
      <selection activeCell="G12" sqref="G12"/>
    </sheetView>
  </sheetViews>
  <sheetFormatPr defaultColWidth="9.140625" defaultRowHeight="12.75"/>
  <cols>
    <col min="1" max="1" width="7.57421875" style="0" customWidth="1"/>
    <col min="2" max="2" width="7.8515625" style="0" customWidth="1"/>
    <col min="3" max="3" width="14.57421875" style="0" customWidth="1"/>
    <col min="4" max="4" width="8.421875" style="0" customWidth="1"/>
    <col min="5" max="5" width="8.00390625" style="0" customWidth="1"/>
    <col min="6" max="6" width="7.140625" style="0" customWidth="1"/>
    <col min="7" max="8" width="8.421875" style="0" customWidth="1"/>
    <col min="9" max="9" width="9.00390625" style="0" customWidth="1"/>
    <col min="10" max="10" width="9.8515625" style="2" customWidth="1"/>
  </cols>
  <sheetData>
    <row r="2" spans="1:3" ht="15">
      <c r="A2" s="194" t="s">
        <v>219</v>
      </c>
      <c r="B2" s="194"/>
      <c r="C2" t="s">
        <v>220</v>
      </c>
    </row>
    <row r="3" spans="1:2" ht="15">
      <c r="A3" s="194"/>
      <c r="B3" s="194"/>
    </row>
    <row r="4" spans="1:3" ht="15">
      <c r="A4" s="194" t="s">
        <v>221</v>
      </c>
      <c r="B4" s="194"/>
      <c r="C4" t="s">
        <v>222</v>
      </c>
    </row>
    <row r="5" spans="1:2" ht="15.75" thickBot="1">
      <c r="A5" s="194"/>
      <c r="B5" s="194"/>
    </row>
    <row r="6" spans="1:3" ht="15.75">
      <c r="A6" s="195" t="s">
        <v>223</v>
      </c>
      <c r="B6" s="196"/>
      <c r="C6" s="197">
        <v>3</v>
      </c>
    </row>
    <row r="7" spans="1:3" ht="15">
      <c r="A7" s="198"/>
      <c r="B7" s="199"/>
      <c r="C7" s="157"/>
    </row>
    <row r="8" spans="1:3" ht="16.5" thickBot="1">
      <c r="A8" s="721" t="s">
        <v>224</v>
      </c>
      <c r="B8" s="722"/>
      <c r="C8" s="200">
        <v>12</v>
      </c>
    </row>
    <row r="11" spans="1:10" ht="60">
      <c r="A11" s="201" t="s">
        <v>225</v>
      </c>
      <c r="B11" s="201" t="s">
        <v>226</v>
      </c>
      <c r="C11" s="201" t="s">
        <v>227</v>
      </c>
      <c r="D11" s="201" t="s">
        <v>228</v>
      </c>
      <c r="E11" s="201" t="s">
        <v>229</v>
      </c>
      <c r="F11" s="201" t="s">
        <v>97</v>
      </c>
      <c r="G11" s="201" t="s">
        <v>384</v>
      </c>
      <c r="H11" s="201" t="s">
        <v>230</v>
      </c>
      <c r="I11" s="202" t="s">
        <v>231</v>
      </c>
      <c r="J11" s="202" t="s">
        <v>232</v>
      </c>
    </row>
    <row r="12" spans="1:10" ht="15.75">
      <c r="A12" s="203"/>
      <c r="B12" s="204">
        <v>1.5</v>
      </c>
      <c r="C12" s="205">
        <v>0.75</v>
      </c>
      <c r="D12" s="203">
        <v>90</v>
      </c>
      <c r="E12" s="203">
        <v>4.5</v>
      </c>
      <c r="F12" s="203">
        <v>38</v>
      </c>
      <c r="G12" s="203">
        <v>100</v>
      </c>
      <c r="H12" s="203">
        <v>19.5</v>
      </c>
      <c r="I12" s="206">
        <f>IF(E12&gt;0,$C$6/E12,0)</f>
        <v>0.6666666666666666</v>
      </c>
      <c r="J12" s="206">
        <f>IF((H12-E12)&gt;0,$C$8/(H12-E12),0)</f>
        <v>0.8</v>
      </c>
    </row>
    <row r="13" spans="1:10" ht="15.75">
      <c r="A13" s="203"/>
      <c r="B13" s="204"/>
      <c r="C13" s="205"/>
      <c r="D13" s="203"/>
      <c r="E13" s="203"/>
      <c r="F13" s="203"/>
      <c r="G13" s="203"/>
      <c r="H13" s="203"/>
      <c r="I13" s="206">
        <f>IF(E13&gt;0,$C$6/E13,0)</f>
        <v>0</v>
      </c>
      <c r="J13" s="206">
        <f>IF((H13-E13)&gt;0,$C$8/(H13-E13),0)</f>
        <v>0</v>
      </c>
    </row>
    <row r="14" spans="1:10" ht="15.75">
      <c r="A14" s="203"/>
      <c r="B14" s="204"/>
      <c r="C14" s="205"/>
      <c r="D14" s="203"/>
      <c r="E14" s="203"/>
      <c r="F14" s="203"/>
      <c r="G14" s="203"/>
      <c r="H14" s="203"/>
      <c r="I14" s="206">
        <f aca="true" t="shared" si="0" ref="I14:I29">IF(E14&gt;0,$C$6/E14,0)</f>
        <v>0</v>
      </c>
      <c r="J14" s="206">
        <f aca="true" t="shared" si="1" ref="J14:J29">IF((H14-E14)&gt;0,$C$8/(H14-E14),0)</f>
        <v>0</v>
      </c>
    </row>
    <row r="15" spans="1:10" ht="15.75">
      <c r="A15" s="203"/>
      <c r="B15" s="204"/>
      <c r="C15" s="205"/>
      <c r="D15" s="203"/>
      <c r="E15" s="203"/>
      <c r="F15" s="203"/>
      <c r="G15" s="203"/>
      <c r="H15" s="203"/>
      <c r="I15" s="206">
        <f t="shared" si="0"/>
        <v>0</v>
      </c>
      <c r="J15" s="206">
        <f t="shared" si="1"/>
        <v>0</v>
      </c>
    </row>
    <row r="16" spans="1:10" ht="15.75">
      <c r="A16" s="203"/>
      <c r="B16" s="204"/>
      <c r="C16" s="205"/>
      <c r="D16" s="203"/>
      <c r="E16" s="203"/>
      <c r="F16" s="203"/>
      <c r="G16" s="203"/>
      <c r="H16" s="203"/>
      <c r="I16" s="206">
        <f t="shared" si="0"/>
        <v>0</v>
      </c>
      <c r="J16" s="206">
        <f t="shared" si="1"/>
        <v>0</v>
      </c>
    </row>
    <row r="17" spans="1:10" ht="15.75">
      <c r="A17" s="203"/>
      <c r="B17" s="204"/>
      <c r="C17" s="205"/>
      <c r="D17" s="203"/>
      <c r="E17" s="203"/>
      <c r="F17" s="203"/>
      <c r="G17" s="203"/>
      <c r="H17" s="203"/>
      <c r="I17" s="206">
        <f t="shared" si="0"/>
        <v>0</v>
      </c>
      <c r="J17" s="206">
        <f t="shared" si="1"/>
        <v>0</v>
      </c>
    </row>
    <row r="18" spans="1:10" ht="15.75">
      <c r="A18" s="203"/>
      <c r="B18" s="204"/>
      <c r="C18" s="205"/>
      <c r="D18" s="203"/>
      <c r="E18" s="203"/>
      <c r="F18" s="203"/>
      <c r="G18" s="203"/>
      <c r="H18" s="203"/>
      <c r="I18" s="206">
        <f t="shared" si="0"/>
        <v>0</v>
      </c>
      <c r="J18" s="206">
        <f t="shared" si="1"/>
        <v>0</v>
      </c>
    </row>
    <row r="19" spans="1:10" ht="15.75">
      <c r="A19" s="203"/>
      <c r="B19" s="204"/>
      <c r="C19" s="205"/>
      <c r="D19" s="203"/>
      <c r="E19" s="203"/>
      <c r="F19" s="203"/>
      <c r="G19" s="203"/>
      <c r="H19" s="203"/>
      <c r="I19" s="206">
        <f t="shared" si="0"/>
        <v>0</v>
      </c>
      <c r="J19" s="206">
        <f t="shared" si="1"/>
        <v>0</v>
      </c>
    </row>
    <row r="20" spans="1:10" ht="15.75">
      <c r="A20" s="203"/>
      <c r="B20" s="204"/>
      <c r="C20" s="205"/>
      <c r="D20" s="203"/>
      <c r="E20" s="203"/>
      <c r="F20" s="203"/>
      <c r="G20" s="203"/>
      <c r="H20" s="203"/>
      <c r="I20" s="206">
        <f t="shared" si="0"/>
        <v>0</v>
      </c>
      <c r="J20" s="206">
        <f t="shared" si="1"/>
        <v>0</v>
      </c>
    </row>
    <row r="21" spans="1:10" ht="15.75">
      <c r="A21" s="203"/>
      <c r="B21" s="204"/>
      <c r="C21" s="205"/>
      <c r="D21" s="203"/>
      <c r="E21" s="203"/>
      <c r="F21" s="203"/>
      <c r="G21" s="203"/>
      <c r="H21" s="203"/>
      <c r="I21" s="206">
        <f t="shared" si="0"/>
        <v>0</v>
      </c>
      <c r="J21" s="206">
        <f t="shared" si="1"/>
        <v>0</v>
      </c>
    </row>
    <row r="22" spans="1:10" ht="15.75">
      <c r="A22" s="203"/>
      <c r="B22" s="204"/>
      <c r="C22" s="205"/>
      <c r="D22" s="203"/>
      <c r="E22" s="203"/>
      <c r="F22" s="203"/>
      <c r="G22" s="203"/>
      <c r="H22" s="203"/>
      <c r="I22" s="206">
        <f t="shared" si="0"/>
        <v>0</v>
      </c>
      <c r="J22" s="206">
        <f t="shared" si="1"/>
        <v>0</v>
      </c>
    </row>
    <row r="23" spans="1:10" ht="15.75">
      <c r="A23" s="203"/>
      <c r="B23" s="204"/>
      <c r="C23" s="205"/>
      <c r="D23" s="203"/>
      <c r="E23" s="203"/>
      <c r="F23" s="203"/>
      <c r="G23" s="203"/>
      <c r="H23" s="203"/>
      <c r="I23" s="206">
        <f t="shared" si="0"/>
        <v>0</v>
      </c>
      <c r="J23" s="206">
        <f t="shared" si="1"/>
        <v>0</v>
      </c>
    </row>
    <row r="24" spans="1:10" ht="15.75">
      <c r="A24" s="203"/>
      <c r="B24" s="204"/>
      <c r="C24" s="205"/>
      <c r="D24" s="203"/>
      <c r="E24" s="203"/>
      <c r="F24" s="203"/>
      <c r="G24" s="203"/>
      <c r="H24" s="203"/>
      <c r="I24" s="206">
        <f t="shared" si="0"/>
        <v>0</v>
      </c>
      <c r="J24" s="206">
        <f t="shared" si="1"/>
        <v>0</v>
      </c>
    </row>
    <row r="25" spans="1:10" ht="15.75">
      <c r="A25" s="203"/>
      <c r="B25" s="204"/>
      <c r="C25" s="205"/>
      <c r="D25" s="203"/>
      <c r="E25" s="203"/>
      <c r="F25" s="203"/>
      <c r="G25" s="203"/>
      <c r="H25" s="203"/>
      <c r="I25" s="206">
        <f t="shared" si="0"/>
        <v>0</v>
      </c>
      <c r="J25" s="206">
        <f t="shared" si="1"/>
        <v>0</v>
      </c>
    </row>
    <row r="26" spans="1:10" ht="15.75">
      <c r="A26" s="203"/>
      <c r="B26" s="204"/>
      <c r="C26" s="205"/>
      <c r="D26" s="203"/>
      <c r="E26" s="203"/>
      <c r="F26" s="203"/>
      <c r="G26" s="203"/>
      <c r="H26" s="203"/>
      <c r="I26" s="206">
        <f t="shared" si="0"/>
        <v>0</v>
      </c>
      <c r="J26" s="206">
        <f t="shared" si="1"/>
        <v>0</v>
      </c>
    </row>
    <row r="27" spans="1:10" ht="15.75">
      <c r="A27" s="203"/>
      <c r="B27" s="204"/>
      <c r="C27" s="205"/>
      <c r="D27" s="203"/>
      <c r="E27" s="203"/>
      <c r="F27" s="203"/>
      <c r="G27" s="203"/>
      <c r="H27" s="203"/>
      <c r="I27" s="206">
        <f t="shared" si="0"/>
        <v>0</v>
      </c>
      <c r="J27" s="206">
        <f t="shared" si="1"/>
        <v>0</v>
      </c>
    </row>
    <row r="28" spans="1:10" ht="15.75">
      <c r="A28" s="203"/>
      <c r="B28" s="204"/>
      <c r="C28" s="205"/>
      <c r="D28" s="203"/>
      <c r="E28" s="203"/>
      <c r="F28" s="203"/>
      <c r="G28" s="203"/>
      <c r="H28" s="203"/>
      <c r="I28" s="206">
        <f t="shared" si="0"/>
        <v>0</v>
      </c>
      <c r="J28" s="206">
        <f t="shared" si="1"/>
        <v>0</v>
      </c>
    </row>
    <row r="29" spans="1:10" ht="15.75">
      <c r="A29" s="203"/>
      <c r="B29" s="204"/>
      <c r="C29" s="205"/>
      <c r="D29" s="203"/>
      <c r="E29" s="203"/>
      <c r="F29" s="203"/>
      <c r="G29" s="203"/>
      <c r="H29" s="203"/>
      <c r="I29" s="206">
        <f t="shared" si="0"/>
        <v>0</v>
      </c>
      <c r="J29" s="206">
        <f t="shared" si="1"/>
        <v>0</v>
      </c>
    </row>
  </sheetData>
  <mergeCells count="1">
    <mergeCell ref="A8:B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Arcmatic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bong</dc:creator>
  <cp:keywords/>
  <dc:description/>
  <cp:lastModifiedBy>george</cp:lastModifiedBy>
  <cp:lastPrinted>2012-06-01T23:54:01Z</cp:lastPrinted>
  <dcterms:created xsi:type="dcterms:W3CDTF">2002-02-23T18:53:04Z</dcterms:created>
  <dcterms:modified xsi:type="dcterms:W3CDTF">2013-02-22T23:08:20Z</dcterms:modified>
  <cp:category/>
  <cp:version/>
  <cp:contentType/>
  <cp:contentStatus/>
</cp:coreProperties>
</file>