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FILES 1989 - 2013\Files 2013\"/>
    </mc:Choice>
  </mc:AlternateContent>
  <bookViews>
    <workbookView xWindow="0" yWindow="0" windowWidth="20070" windowHeight="7290" tabRatio="891" activeTab="2"/>
  </bookViews>
  <sheets>
    <sheet name="10 Commandments" sheetId="5" r:id="rId1"/>
    <sheet name="FAQ" sheetId="10" r:id="rId2"/>
    <sheet name="SqueezeChart2013" sheetId="30" r:id="rId3"/>
    <sheet name="AUDIO" sheetId="33" r:id="rId4"/>
    <sheet name="IMAGE" sheetId="35" r:id="rId5"/>
    <sheet name="PDF, JPG, MP3, PNG, Installer.." sheetId="16" r:id="rId6"/>
    <sheet name="Results" sheetId="18" r:id="rId7"/>
    <sheet name="TXT BIBLE" sheetId="31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Alter" localSheetId="4">#REF!</definedName>
    <definedName name="Alter">#REF!</definedName>
    <definedName name="data1">[1]Kreditdaten!$F$13</definedName>
    <definedName name="data2">[1]Kreditdaten!$F$16</definedName>
    <definedName name="data3">[1]Kreditdaten!$I$16</definedName>
    <definedName name="data4">[1]Kreditdaten!$F$17</definedName>
    <definedName name="data6">[1]Kreditdaten!$I$18</definedName>
    <definedName name="_xlnm.Database">#REF!</definedName>
    <definedName name="Excel_BuiltIn__FilterDatabase_9" localSheetId="4">#REF!</definedName>
    <definedName name="Excel_BuiltIn__FilterDatabase_9" localSheetId="5">#REF!</definedName>
    <definedName name="Excel_BuiltIn__FilterDatabase_9" localSheetId="2">#REF!</definedName>
    <definedName name="Excel_BuiltIn__FilterDatabase_9" localSheetId="7">#REF!</definedName>
    <definedName name="Excel_BuiltIn__FilterDatabase_9">#REF!</definedName>
    <definedName name="Excel_BuiltIn_Database" localSheetId="4">#REF!</definedName>
    <definedName name="Excel_BuiltIn_Database" localSheetId="5">#REF!</definedName>
    <definedName name="Excel_BuiltIn_Database">#REF!</definedName>
    <definedName name="Excel_BuiltIn_Database_11" localSheetId="3">'[2]PC History 16 _ 32'!#REF!</definedName>
    <definedName name="Excel_BuiltIn_Database_11" localSheetId="4">'[2]PC History 16 _ 32'!#REF!</definedName>
    <definedName name="Excel_BuiltIn_Database_11" localSheetId="5">'[3]PC History 16 _ 32'!#REF!</definedName>
    <definedName name="Excel_BuiltIn_Database_11" localSheetId="2">'[3]PC History 16 _ 32'!#REF!</definedName>
    <definedName name="Excel_BuiltIn_Database_11" localSheetId="7">'[3]PC History 16 _ 32'!#REF!</definedName>
    <definedName name="Excel_BuiltIn_Database_11">'[3]PC History 16 _ 32'!#REF!</definedName>
    <definedName name="Excel_BuiltIn_Database_12" localSheetId="3">'[4]PC History 16 _ 32'!#REF!</definedName>
    <definedName name="Excel_BuiltIn_Database_12" localSheetId="4">'[4]PC History 16 _ 32'!#REF!</definedName>
    <definedName name="Excel_BuiltIn_Database_12" localSheetId="5">'[5]PC History 16 _ 32'!#REF!</definedName>
    <definedName name="Excel_BuiltIn_Database_12" localSheetId="2">'[5]PC History 16 _ 32'!#REF!</definedName>
    <definedName name="Excel_BuiltIn_Database_12" localSheetId="7">'[5]PC History 16 _ 32'!#REF!</definedName>
    <definedName name="Excel_BuiltIn_Database_12">'[5]PC History 16 _ 32'!#REF!</definedName>
    <definedName name="Excel_BuiltIn_Database_13" localSheetId="3">'[2]PC History 16 _ 32'!#REF!</definedName>
    <definedName name="Excel_BuiltIn_Database_13" localSheetId="4">'[2]PC History 16 _ 32'!#REF!</definedName>
    <definedName name="Excel_BuiltIn_Database_13" localSheetId="5">'[3]PC History 16 _ 32'!#REF!</definedName>
    <definedName name="Excel_BuiltIn_Database_13" localSheetId="2">'[3]PC History 16 _ 32'!#REF!</definedName>
    <definedName name="Excel_BuiltIn_Database_13" localSheetId="7">'[3]PC History 16 _ 32'!#REF!</definedName>
    <definedName name="Excel_BuiltIn_Database_13">'[3]PC History 16 _ 32'!#REF!</definedName>
    <definedName name="Excel_BuiltIn_Database_14" localSheetId="3">'[4]PC History 16 _ 32'!#REF!</definedName>
    <definedName name="Excel_BuiltIn_Database_14" localSheetId="4">'[4]PC History 16 _ 32'!#REF!</definedName>
    <definedName name="Excel_BuiltIn_Database_14" localSheetId="5">'[5]PC History 16 _ 32'!#REF!</definedName>
    <definedName name="Excel_BuiltIn_Database_14" localSheetId="2">'[5]PC History 16 _ 32'!#REF!</definedName>
    <definedName name="Excel_BuiltIn_Database_14" localSheetId="7">'[5]PC History 16 _ 32'!#REF!</definedName>
    <definedName name="Excel_BuiltIn_Database_14">'[5]PC History 16 _ 32'!#REF!</definedName>
    <definedName name="Excel_BuiltIn_Database_15" localSheetId="3">'[2]PC History 16 _ 32'!#REF!</definedName>
    <definedName name="Excel_BuiltIn_Database_15" localSheetId="4">'[2]PC History 16 _ 32'!#REF!</definedName>
    <definedName name="Excel_BuiltIn_Database_15" localSheetId="5">'[3]PC History 16 _ 32'!#REF!</definedName>
    <definedName name="Excel_BuiltIn_Database_15" localSheetId="2">'[3]PC History 16 _ 32'!#REF!</definedName>
    <definedName name="Excel_BuiltIn_Database_15" localSheetId="7">'[3]PC History 16 _ 32'!#REF!</definedName>
    <definedName name="Excel_BuiltIn_Database_15">'[3]PC History 16 _ 32'!#REF!</definedName>
    <definedName name="Excel_BuiltIn_Database_16" localSheetId="3">'[2]PC History 16 _ 32'!#REF!</definedName>
    <definedName name="Excel_BuiltIn_Database_16" localSheetId="4">'[2]PC History 16 _ 32'!#REF!</definedName>
    <definedName name="Excel_BuiltIn_Database_16" localSheetId="5">'[3]PC History 16 _ 32'!#REF!</definedName>
    <definedName name="Excel_BuiltIn_Database_16" localSheetId="2">'[3]PC History 16 _ 32'!#REF!</definedName>
    <definedName name="Excel_BuiltIn_Database_16" localSheetId="7">'[3]PC History 16 _ 32'!#REF!</definedName>
    <definedName name="Excel_BuiltIn_Database_16">'[3]PC History 16 _ 32'!#REF!</definedName>
    <definedName name="Excel_BuiltIn_Database_17" localSheetId="3">'[4]PC History 16 _ 32'!#REF!</definedName>
    <definedName name="Excel_BuiltIn_Database_17" localSheetId="4">'[4]PC History 16 _ 32'!#REF!</definedName>
    <definedName name="Excel_BuiltIn_Database_17" localSheetId="5">'[5]PC History 16 _ 32'!#REF!</definedName>
    <definedName name="Excel_BuiltIn_Database_17" localSheetId="2">'[5]PC History 16 _ 32'!#REF!</definedName>
    <definedName name="Excel_BuiltIn_Database_17" localSheetId="7">'[5]PC History 16 _ 32'!#REF!</definedName>
    <definedName name="Excel_BuiltIn_Database_17">'[5]PC History 16 _ 32'!#REF!</definedName>
    <definedName name="Excel_BuiltIn_Database_19" localSheetId="3">'[2]PC History 16 _ 32'!#REF!</definedName>
    <definedName name="Excel_BuiltIn_Database_19" localSheetId="4">'[2]PC History 16 _ 32'!#REF!</definedName>
    <definedName name="Excel_BuiltIn_Database_19" localSheetId="5">'[3]PC History 16 _ 32'!#REF!</definedName>
    <definedName name="Excel_BuiltIn_Database_19" localSheetId="2">'[3]PC History 16 _ 32'!#REF!</definedName>
    <definedName name="Excel_BuiltIn_Database_19" localSheetId="7">'[3]PC History 16 _ 32'!#REF!</definedName>
    <definedName name="Excel_BuiltIn_Database_19">'[3]PC History 16 _ 32'!#REF!</definedName>
    <definedName name="Excel_BuiltIn_Database_5" localSheetId="3">'[2]PC History 16 _ 32'!#REF!</definedName>
    <definedName name="Excel_BuiltIn_Database_5" localSheetId="4">'[2]PC History 16 _ 32'!#REF!</definedName>
    <definedName name="Excel_BuiltIn_Database_5" localSheetId="5">'[3]PC History 16 _ 32'!#REF!</definedName>
    <definedName name="Excel_BuiltIn_Database_5" localSheetId="2">'[3]PC History 16 _ 32'!#REF!</definedName>
    <definedName name="Excel_BuiltIn_Database_5" localSheetId="7">'[3]PC History 16 _ 32'!#REF!</definedName>
    <definedName name="Excel_BuiltIn_Database_5">'[3]PC History 16 _ 32'!#REF!</definedName>
    <definedName name="Excel_BuiltIn_Database_6" localSheetId="3">'[2]PC History 16 _ 32'!#REF!</definedName>
    <definedName name="Excel_BuiltIn_Database_6" localSheetId="4">'[2]PC History 16 _ 32'!#REF!</definedName>
    <definedName name="Excel_BuiltIn_Database_6" localSheetId="5">'[3]PC History 16 _ 32'!#REF!</definedName>
    <definedName name="Excel_BuiltIn_Database_6" localSheetId="2">'[3]PC History 16 _ 32'!#REF!</definedName>
    <definedName name="Excel_BuiltIn_Database_6" localSheetId="7">'[3]PC History 16 _ 32'!#REF!</definedName>
    <definedName name="Excel_BuiltIn_Database_6">'[3]PC History 16 _ 32'!#REF!</definedName>
    <definedName name="Excel_BuiltIn_Database_7" localSheetId="3">'[2]PC History 16 _ 32'!#REF!</definedName>
    <definedName name="Excel_BuiltIn_Database_7" localSheetId="4">'[2]PC History 16 _ 32'!#REF!</definedName>
    <definedName name="Excel_BuiltIn_Database_7" localSheetId="5">'[3]PC History 16 _ 32'!#REF!</definedName>
    <definedName name="Excel_BuiltIn_Database_7" localSheetId="2">'[3]PC History 16 _ 32'!#REF!</definedName>
    <definedName name="Excel_BuiltIn_Database_7" localSheetId="7">'[3]PC History 16 _ 32'!#REF!</definedName>
    <definedName name="Excel_BuiltIn_Database_7">'[3]PC History 16 _ 32'!#REF!</definedName>
    <definedName name="Excel_BuiltIn_Database_8" localSheetId="3">'[2]PC History 16 _ 32'!#REF!</definedName>
    <definedName name="Excel_BuiltIn_Database_8" localSheetId="4">'[2]PC History 16 _ 32'!#REF!</definedName>
    <definedName name="Excel_BuiltIn_Database_8" localSheetId="5">'[3]PC History 16 _ 32'!#REF!</definedName>
    <definedName name="Excel_BuiltIn_Database_8" localSheetId="2">'[3]PC History 16 _ 32'!#REF!</definedName>
    <definedName name="Excel_BuiltIn_Database_8" localSheetId="7">'[3]PC History 16 _ 32'!#REF!</definedName>
    <definedName name="Excel_BuiltIn_Database_8">'[3]PC History 16 _ 32'!#REF!</definedName>
    <definedName name="Excel_BuiltIn_Database_9" localSheetId="3">'[2]PC History 16 _ 32'!#REF!</definedName>
    <definedName name="Excel_BuiltIn_Database_9" localSheetId="4">'[2]PC History 16 _ 32'!#REF!</definedName>
    <definedName name="Excel_BuiltIn_Database_9" localSheetId="5">'[3]PC History 16 _ 32'!#REF!</definedName>
    <definedName name="Excel_BuiltIn_Database_9" localSheetId="2">'[3]PC History 16 _ 32'!#REF!</definedName>
    <definedName name="Excel_BuiltIn_Database_9" localSheetId="7">'[3]PC History 16 _ 32'!#REF!</definedName>
    <definedName name="Excel_BuiltIn_Database_9">'[3]PC History 16 _ 32'!#REF!</definedName>
    <definedName name="PERYR">[1]Kreditdaten!$I$18</definedName>
  </definedNames>
  <calcPr calcId="152511"/>
</workbook>
</file>

<file path=xl/calcChain.xml><?xml version="1.0" encoding="utf-8"?>
<calcChain xmlns="http://schemas.openxmlformats.org/spreadsheetml/2006/main">
  <c r="G66" i="30" l="1"/>
  <c r="G69" i="30" l="1"/>
  <c r="G65" i="30" l="1"/>
  <c r="G61" i="30" l="1"/>
  <c r="G59" i="30" l="1"/>
  <c r="G58" i="30" l="1"/>
  <c r="G57" i="30"/>
  <c r="G55" i="30" l="1"/>
  <c r="G52" i="30" l="1"/>
  <c r="G37" i="30" l="1"/>
  <c r="G49" i="30"/>
  <c r="G43" i="30"/>
  <c r="G34" i="30" l="1"/>
  <c r="G33" i="30"/>
  <c r="G31" i="30" l="1"/>
  <c r="G27" i="30" l="1"/>
  <c r="G23" i="30" l="1"/>
  <c r="G433" i="30" l="1"/>
  <c r="G427" i="30"/>
  <c r="G426" i="30"/>
  <c r="G423" i="30"/>
  <c r="G421" i="30"/>
  <c r="G417" i="30"/>
  <c r="G410" i="30"/>
  <c r="G405" i="30"/>
  <c r="G401" i="30"/>
  <c r="G399" i="30"/>
  <c r="G397" i="30"/>
  <c r="G390" i="30"/>
  <c r="G389" i="30"/>
  <c r="G382" i="30"/>
  <c r="G376" i="30"/>
  <c r="G366" i="30"/>
  <c r="G363" i="30"/>
  <c r="G362" i="30"/>
  <c r="G361" i="30"/>
  <c r="G356" i="30"/>
  <c r="G355" i="30"/>
  <c r="G352" i="30"/>
  <c r="G338" i="30"/>
  <c r="G328" i="30"/>
  <c r="G310" i="30"/>
  <c r="G308" i="30"/>
  <c r="G303" i="30"/>
  <c r="G296" i="30"/>
  <c r="H291" i="30"/>
  <c r="G291" i="30"/>
  <c r="H281" i="30"/>
  <c r="G281" i="30"/>
  <c r="G280" i="30"/>
  <c r="G278" i="30"/>
  <c r="G275" i="30"/>
  <c r="G274" i="30"/>
  <c r="G271" i="30"/>
  <c r="G270" i="30"/>
  <c r="G264" i="30"/>
  <c r="H264" i="30"/>
  <c r="G244" i="30"/>
  <c r="G235" i="30"/>
  <c r="G223" i="30"/>
  <c r="G221" i="30"/>
  <c r="H220" i="30"/>
  <c r="G220" i="30"/>
  <c r="G219" i="30"/>
  <c r="H219" i="30"/>
  <c r="H218" i="30"/>
  <c r="H215" i="30"/>
  <c r="G215" i="30"/>
  <c r="G212" i="30"/>
  <c r="G211" i="30"/>
  <c r="G207" i="30"/>
  <c r="G202" i="30"/>
  <c r="G197" i="30"/>
  <c r="G196" i="30"/>
  <c r="G195" i="30"/>
  <c r="G194" i="30"/>
  <c r="G192" i="30"/>
  <c r="G190" i="30"/>
  <c r="G188" i="30"/>
  <c r="G180" i="30"/>
  <c r="G175" i="30"/>
  <c r="G169" i="30"/>
  <c r="G162" i="30"/>
  <c r="G160" i="30"/>
  <c r="G156" i="30"/>
  <c r="G152" i="30"/>
  <c r="G150" i="30"/>
  <c r="G149" i="30"/>
  <c r="G147" i="30"/>
  <c r="H147" i="30"/>
  <c r="H144" i="30"/>
  <c r="H143" i="30"/>
  <c r="G143" i="30"/>
  <c r="G141" i="30"/>
  <c r="G136" i="30"/>
  <c r="G131" i="30"/>
  <c r="G126" i="30"/>
  <c r="G116" i="30"/>
  <c r="G112" i="30"/>
  <c r="G110" i="30"/>
  <c r="G108" i="30"/>
  <c r="G106" i="30"/>
  <c r="H98" i="30"/>
  <c r="G98" i="30"/>
  <c r="G97" i="30"/>
  <c r="H95" i="30"/>
  <c r="G95" i="30"/>
  <c r="H94" i="30"/>
  <c r="G94" i="30"/>
  <c r="G92" i="30"/>
  <c r="G91" i="30"/>
  <c r="G86" i="30"/>
  <c r="G84" i="30"/>
  <c r="H83" i="30"/>
  <c r="G83" i="30"/>
  <c r="G82" i="30"/>
  <c r="G80" i="30"/>
  <c r="G79" i="30"/>
  <c r="G77" i="30"/>
  <c r="G74" i="30"/>
  <c r="G64" i="30"/>
  <c r="G62" i="30"/>
  <c r="G60" i="30"/>
  <c r="G56" i="30"/>
  <c r="G54" i="30"/>
  <c r="H53" i="30"/>
  <c r="G53" i="30"/>
  <c r="G50" i="30"/>
  <c r="G48" i="30"/>
  <c r="H47" i="30"/>
  <c r="G47" i="30"/>
  <c r="G46" i="30"/>
  <c r="G44" i="30"/>
  <c r="G42" i="30"/>
  <c r="G41" i="30"/>
  <c r="G40" i="30"/>
  <c r="G36" i="30"/>
  <c r="G32" i="30" l="1"/>
  <c r="G30" i="30"/>
  <c r="G29" i="30"/>
  <c r="G28" i="30"/>
  <c r="G26" i="30"/>
  <c r="G24" i="30"/>
  <c r="G25" i="30"/>
  <c r="G22" i="30"/>
  <c r="G21" i="30"/>
  <c r="G20" i="30"/>
  <c r="G19" i="30"/>
  <c r="G17" i="30"/>
  <c r="G18" i="30"/>
  <c r="G16" i="30"/>
  <c r="G14" i="30"/>
  <c r="G15" i="30"/>
  <c r="G13" i="30"/>
  <c r="D83" i="31" l="1"/>
  <c r="C83" i="31"/>
  <c r="D82" i="31"/>
  <c r="C82" i="31"/>
  <c r="D81" i="31"/>
  <c r="C81" i="31"/>
  <c r="D80" i="31"/>
  <c r="C80" i="31"/>
  <c r="D79" i="31"/>
  <c r="C79" i="31"/>
  <c r="D78" i="31"/>
  <c r="C78" i="31"/>
  <c r="D77" i="31"/>
  <c r="C77" i="31"/>
  <c r="D76" i="31"/>
  <c r="C76" i="31"/>
  <c r="D75" i="31"/>
  <c r="C75" i="31"/>
  <c r="D74" i="31"/>
  <c r="C74" i="31"/>
  <c r="D73" i="31"/>
  <c r="C73" i="31"/>
  <c r="D72" i="31"/>
  <c r="C72" i="31"/>
  <c r="D71" i="31"/>
  <c r="C71" i="31"/>
  <c r="D70" i="31"/>
  <c r="C70" i="31"/>
  <c r="D69" i="31"/>
  <c r="C69" i="31"/>
  <c r="D68" i="31"/>
  <c r="C68" i="31"/>
  <c r="D67" i="31"/>
  <c r="C67" i="31"/>
  <c r="D66" i="31"/>
  <c r="C66" i="31"/>
  <c r="D65" i="31"/>
  <c r="C65" i="31"/>
  <c r="D64" i="31"/>
  <c r="C64" i="31"/>
  <c r="D63" i="31"/>
  <c r="C63" i="31"/>
  <c r="D62" i="31"/>
  <c r="C62" i="31"/>
  <c r="D61" i="31"/>
  <c r="C61" i="31"/>
  <c r="D60" i="31"/>
  <c r="C60" i="31"/>
  <c r="D59" i="31"/>
  <c r="C59" i="31"/>
  <c r="D58" i="31"/>
  <c r="C58" i="31"/>
  <c r="D57" i="31"/>
  <c r="C57" i="31"/>
  <c r="D56" i="31"/>
  <c r="C56" i="31"/>
  <c r="D55" i="31"/>
  <c r="C55" i="31"/>
  <c r="D54" i="31"/>
  <c r="C54" i="31"/>
  <c r="D53" i="31"/>
  <c r="C53" i="31"/>
  <c r="D52" i="31"/>
  <c r="C52" i="31"/>
  <c r="D51" i="31"/>
  <c r="C51" i="31"/>
  <c r="D50" i="31"/>
  <c r="C50" i="31"/>
  <c r="D49" i="31"/>
  <c r="C49" i="31"/>
  <c r="D48" i="31"/>
  <c r="C48" i="31"/>
  <c r="D47" i="31"/>
  <c r="C47" i="31"/>
  <c r="D46" i="31"/>
  <c r="C46" i="31"/>
  <c r="D45" i="31"/>
  <c r="C45" i="31"/>
  <c r="D44" i="31"/>
  <c r="C44" i="31"/>
  <c r="D43" i="31"/>
  <c r="C43" i="31"/>
  <c r="D42" i="31"/>
  <c r="C42" i="31"/>
  <c r="D41" i="31"/>
  <c r="C41" i="31"/>
  <c r="D40" i="31"/>
  <c r="C40" i="31"/>
  <c r="D39" i="31"/>
  <c r="C39" i="31"/>
  <c r="D38" i="31"/>
  <c r="C38" i="31"/>
  <c r="D37" i="31"/>
  <c r="C37" i="31"/>
  <c r="D36" i="31"/>
  <c r="C36" i="31"/>
  <c r="D35" i="31"/>
  <c r="C35" i="31"/>
  <c r="D34" i="31"/>
  <c r="C34" i="31"/>
  <c r="D33" i="31"/>
  <c r="C33" i="31"/>
  <c r="D32" i="31"/>
  <c r="C32" i="31"/>
  <c r="D31" i="31"/>
  <c r="C31" i="31"/>
  <c r="D30" i="31"/>
  <c r="C30" i="31"/>
  <c r="D29" i="31"/>
  <c r="C29" i="31"/>
  <c r="D28" i="31"/>
  <c r="C28" i="31"/>
  <c r="D27" i="31"/>
  <c r="C27" i="31"/>
  <c r="D26" i="31"/>
  <c r="C26" i="31"/>
  <c r="D25" i="31"/>
  <c r="C25" i="31"/>
  <c r="D24" i="31"/>
  <c r="C24" i="31"/>
  <c r="D23" i="31"/>
  <c r="C23" i="31"/>
  <c r="D22" i="31"/>
  <c r="C22" i="31"/>
  <c r="D21" i="31"/>
  <c r="C21" i="31"/>
  <c r="D20" i="31"/>
  <c r="C20" i="31"/>
  <c r="D19" i="31"/>
  <c r="C19" i="31"/>
  <c r="D18" i="31"/>
  <c r="C18" i="31"/>
  <c r="D17" i="31"/>
  <c r="C17" i="31"/>
  <c r="D16" i="31"/>
  <c r="C16" i="31"/>
  <c r="D15" i="31"/>
  <c r="C15" i="31"/>
  <c r="D14" i="31"/>
  <c r="C14" i="31"/>
  <c r="D13" i="31"/>
  <c r="C13" i="31"/>
  <c r="C12" i="31"/>
  <c r="AJ11" i="31"/>
  <c r="AI11" i="31"/>
  <c r="AH11" i="31"/>
  <c r="AG11" i="31"/>
  <c r="AF11" i="31"/>
  <c r="AE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A2" i="31"/>
  <c r="L35" i="18"/>
  <c r="J35" i="18"/>
  <c r="L34" i="18"/>
  <c r="J34" i="18"/>
  <c r="L33" i="18"/>
  <c r="J33" i="18"/>
  <c r="L32" i="18"/>
  <c r="J32" i="18"/>
  <c r="L31" i="18"/>
  <c r="J31" i="18"/>
  <c r="L30" i="18"/>
  <c r="J30" i="18"/>
  <c r="L29" i="18"/>
  <c r="J29" i="18"/>
  <c r="L28" i="18"/>
  <c r="J28" i="18"/>
  <c r="L27" i="18"/>
  <c r="J27" i="18"/>
  <c r="L26" i="18"/>
  <c r="J26" i="18"/>
  <c r="L25" i="18"/>
  <c r="J25" i="18"/>
  <c r="L24" i="18"/>
  <c r="J24" i="18"/>
  <c r="L23" i="18"/>
  <c r="J23" i="18"/>
  <c r="L22" i="18"/>
  <c r="J22" i="18"/>
  <c r="L21" i="18"/>
  <c r="J21" i="18"/>
  <c r="L20" i="18"/>
  <c r="J20" i="18"/>
  <c r="L19" i="18"/>
  <c r="J19" i="18"/>
  <c r="L18" i="18"/>
  <c r="J18" i="18"/>
  <c r="L17" i="18"/>
  <c r="J17" i="18"/>
  <c r="L16" i="18"/>
  <c r="J16" i="18"/>
  <c r="L15" i="18"/>
  <c r="J15" i="18"/>
  <c r="L14" i="18"/>
  <c r="J14" i="18"/>
  <c r="L13" i="18"/>
  <c r="J13" i="18"/>
  <c r="L12" i="18"/>
  <c r="J12" i="18"/>
  <c r="L11" i="18"/>
  <c r="J11" i="18"/>
  <c r="L10" i="18"/>
  <c r="J10" i="18"/>
  <c r="L9" i="18"/>
  <c r="J9" i="18"/>
  <c r="L8" i="18"/>
  <c r="J8" i="18"/>
  <c r="B2" i="18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4" i="16"/>
  <c r="Q459" i="16"/>
  <c r="K459" i="16"/>
  <c r="E459" i="16"/>
  <c r="Q458" i="16"/>
  <c r="K458" i="16"/>
  <c r="E458" i="16"/>
  <c r="Q457" i="16"/>
  <c r="K457" i="16"/>
  <c r="E457" i="16"/>
  <c r="Q456" i="16"/>
  <c r="K456" i="16"/>
  <c r="E456" i="16"/>
  <c r="Q455" i="16"/>
  <c r="K455" i="16"/>
  <c r="E455" i="16"/>
  <c r="Q454" i="16"/>
  <c r="K454" i="16"/>
  <c r="E454" i="16"/>
  <c r="Q453" i="16"/>
  <c r="K453" i="16"/>
  <c r="E453" i="16"/>
  <c r="Q452" i="16"/>
  <c r="K452" i="16"/>
  <c r="E452" i="16"/>
  <c r="Q451" i="16"/>
  <c r="K451" i="16"/>
  <c r="E451" i="16"/>
  <c r="Q450" i="16"/>
  <c r="K450" i="16"/>
  <c r="E450" i="16"/>
  <c r="Q449" i="16"/>
  <c r="K449" i="16"/>
  <c r="E449" i="16"/>
  <c r="Q448" i="16"/>
  <c r="K448" i="16"/>
  <c r="E448" i="16"/>
  <c r="Q447" i="16"/>
  <c r="K447" i="16"/>
  <c r="E447" i="16"/>
  <c r="Q446" i="16"/>
  <c r="K446" i="16"/>
  <c r="E446" i="16"/>
  <c r="Q445" i="16"/>
  <c r="K445" i="16"/>
  <c r="E445" i="16"/>
  <c r="Q444" i="16"/>
  <c r="K444" i="16"/>
  <c r="E444" i="16"/>
  <c r="Q443" i="16"/>
  <c r="K443" i="16"/>
  <c r="E443" i="16"/>
  <c r="Q442" i="16"/>
  <c r="K442" i="16"/>
  <c r="E442" i="16"/>
  <c r="Q441" i="16"/>
  <c r="K441" i="16"/>
  <c r="E441" i="16"/>
  <c r="Q440" i="16"/>
  <c r="K440" i="16"/>
  <c r="E440" i="16"/>
  <c r="Q439" i="16"/>
  <c r="K439" i="16"/>
  <c r="E439" i="16"/>
  <c r="Q438" i="16"/>
  <c r="K438" i="16"/>
  <c r="E438" i="16"/>
  <c r="Q437" i="16"/>
  <c r="K437" i="16"/>
  <c r="E437" i="16"/>
  <c r="Q436" i="16"/>
  <c r="K436" i="16"/>
  <c r="E436" i="16"/>
  <c r="K424" i="16"/>
  <c r="K423" i="16"/>
  <c r="E423" i="16"/>
  <c r="K422" i="16"/>
  <c r="E422" i="16"/>
  <c r="K421" i="16"/>
  <c r="E421" i="16"/>
  <c r="K420" i="16"/>
  <c r="E420" i="16"/>
  <c r="K419" i="16"/>
  <c r="E419" i="16"/>
  <c r="K418" i="16"/>
  <c r="E418" i="16"/>
  <c r="K417" i="16"/>
  <c r="E417" i="16"/>
  <c r="K416" i="16"/>
  <c r="E416" i="16"/>
  <c r="K415" i="16"/>
  <c r="E415" i="16"/>
  <c r="K414" i="16"/>
  <c r="E414" i="16"/>
  <c r="K413" i="16"/>
  <c r="E413" i="16"/>
  <c r="K412" i="16"/>
  <c r="E412" i="16"/>
  <c r="K411" i="16"/>
  <c r="E411" i="16"/>
  <c r="K410" i="16"/>
  <c r="E410" i="16"/>
  <c r="K409" i="16"/>
  <c r="E409" i="16"/>
  <c r="K408" i="16"/>
  <c r="E408" i="16"/>
  <c r="K407" i="16"/>
  <c r="E407" i="16"/>
  <c r="K406" i="16"/>
  <c r="E406" i="16"/>
  <c r="K405" i="16"/>
  <c r="E405" i="16"/>
  <c r="K404" i="16"/>
  <c r="E404" i="16"/>
  <c r="K403" i="16"/>
  <c r="E403" i="16"/>
  <c r="K402" i="16"/>
  <c r="E402" i="16"/>
  <c r="K401" i="16"/>
  <c r="E401" i="16"/>
  <c r="K400" i="16"/>
  <c r="J400" i="16"/>
  <c r="E400" i="16"/>
  <c r="D400" i="16"/>
  <c r="K399" i="16"/>
  <c r="E399" i="16"/>
  <c r="Q393" i="16"/>
  <c r="K393" i="16"/>
  <c r="E393" i="16"/>
  <c r="Q392" i="16"/>
  <c r="K392" i="16"/>
  <c r="E392" i="16"/>
  <c r="Q391" i="16"/>
  <c r="K391" i="16"/>
  <c r="E391" i="16"/>
  <c r="Q390" i="16"/>
  <c r="K390" i="16"/>
  <c r="E390" i="16"/>
  <c r="Q389" i="16"/>
  <c r="K389" i="16"/>
  <c r="E389" i="16"/>
  <c r="Q388" i="16"/>
  <c r="K388" i="16"/>
  <c r="E388" i="16"/>
  <c r="Q387" i="16"/>
  <c r="K387" i="16"/>
  <c r="E387" i="16"/>
  <c r="Q386" i="16"/>
  <c r="K386" i="16"/>
  <c r="E386" i="16"/>
  <c r="Q385" i="16"/>
  <c r="K385" i="16"/>
  <c r="E385" i="16"/>
  <c r="Q384" i="16"/>
  <c r="K384" i="16"/>
  <c r="E384" i="16"/>
  <c r="Q383" i="16"/>
  <c r="K383" i="16"/>
  <c r="E383" i="16"/>
  <c r="Q382" i="16"/>
  <c r="K382" i="16"/>
  <c r="E382" i="16"/>
  <c r="Q381" i="16"/>
  <c r="K381" i="16"/>
  <c r="E381" i="16"/>
  <c r="Q380" i="16"/>
  <c r="K380" i="16"/>
  <c r="E380" i="16"/>
  <c r="Q379" i="16"/>
  <c r="K379" i="16"/>
  <c r="E379" i="16"/>
  <c r="Q378" i="16"/>
  <c r="K378" i="16"/>
  <c r="E378" i="16"/>
  <c r="Q377" i="16"/>
  <c r="K377" i="16"/>
  <c r="E377" i="16"/>
  <c r="Q376" i="16"/>
  <c r="K376" i="16"/>
  <c r="E376" i="16"/>
  <c r="Q375" i="16"/>
  <c r="K375" i="16"/>
  <c r="E375" i="16"/>
  <c r="Q374" i="16"/>
  <c r="K374" i="16"/>
  <c r="E374" i="16"/>
  <c r="Q373" i="16"/>
  <c r="K373" i="16"/>
  <c r="E373" i="16"/>
  <c r="Q372" i="16"/>
  <c r="K372" i="16"/>
  <c r="E372" i="16"/>
  <c r="Q371" i="16"/>
  <c r="K371" i="16"/>
  <c r="E371" i="16"/>
  <c r="Q370" i="16"/>
  <c r="P370" i="16"/>
  <c r="K370" i="16"/>
  <c r="E370" i="16"/>
  <c r="Q369" i="16"/>
  <c r="K369" i="16"/>
  <c r="J369" i="16"/>
  <c r="E369" i="16"/>
  <c r="E357" i="16"/>
  <c r="E356" i="16"/>
  <c r="C356" i="16"/>
  <c r="E355" i="16"/>
  <c r="K354" i="16"/>
  <c r="E354" i="16"/>
  <c r="K353" i="16"/>
  <c r="E353" i="16"/>
  <c r="K352" i="16"/>
  <c r="E352" i="16"/>
  <c r="K351" i="16"/>
  <c r="E351" i="16"/>
  <c r="K350" i="16"/>
  <c r="E350" i="16"/>
  <c r="K349" i="16"/>
  <c r="E349" i="16"/>
  <c r="K348" i="16"/>
  <c r="E348" i="16"/>
  <c r="K347" i="16"/>
  <c r="E347" i="16"/>
  <c r="K346" i="16"/>
  <c r="E346" i="16"/>
  <c r="K345" i="16"/>
  <c r="E345" i="16"/>
  <c r="K344" i="16"/>
  <c r="E344" i="16"/>
  <c r="K343" i="16"/>
  <c r="E343" i="16"/>
  <c r="K342" i="16"/>
  <c r="E342" i="16"/>
  <c r="K341" i="16"/>
  <c r="E341" i="16"/>
  <c r="K340" i="16"/>
  <c r="E340" i="16"/>
  <c r="K339" i="16"/>
  <c r="E339" i="16"/>
  <c r="K338" i="16"/>
  <c r="E338" i="16"/>
  <c r="K337" i="16"/>
  <c r="E337" i="16"/>
  <c r="K336" i="16"/>
  <c r="E336" i="16"/>
  <c r="K335" i="16"/>
  <c r="E335" i="16"/>
  <c r="K334" i="16"/>
  <c r="E334" i="16"/>
  <c r="K333" i="16"/>
  <c r="E333" i="16"/>
  <c r="K332" i="16"/>
  <c r="E332" i="16"/>
  <c r="Q327" i="16"/>
  <c r="E327" i="16"/>
  <c r="Q326" i="16"/>
  <c r="K326" i="16"/>
  <c r="E326" i="16"/>
  <c r="Q325" i="16"/>
  <c r="K325" i="16"/>
  <c r="E325" i="16"/>
  <c r="Q324" i="16"/>
  <c r="K324" i="16"/>
  <c r="E324" i="16"/>
  <c r="Q323" i="16"/>
  <c r="K323" i="16"/>
  <c r="E323" i="16"/>
  <c r="Q322" i="16"/>
  <c r="K322" i="16"/>
  <c r="E322" i="16"/>
  <c r="Q321" i="16"/>
  <c r="K321" i="16"/>
  <c r="E321" i="16"/>
  <c r="Q320" i="16"/>
  <c r="K320" i="16"/>
  <c r="E320" i="16"/>
  <c r="Q319" i="16"/>
  <c r="K319" i="16"/>
  <c r="E319" i="16"/>
  <c r="Q318" i="16"/>
  <c r="K318" i="16"/>
  <c r="E318" i="16"/>
  <c r="Q317" i="16"/>
  <c r="K317" i="16"/>
  <c r="E317" i="16"/>
  <c r="Q316" i="16"/>
  <c r="K316" i="16"/>
  <c r="E316" i="16"/>
  <c r="Q315" i="16"/>
  <c r="K315" i="16"/>
  <c r="E315" i="16"/>
  <c r="Q314" i="16"/>
  <c r="K314" i="16"/>
  <c r="E314" i="16"/>
  <c r="Q313" i="16"/>
  <c r="K313" i="16"/>
  <c r="E313" i="16"/>
  <c r="Q312" i="16"/>
  <c r="K312" i="16"/>
  <c r="E312" i="16"/>
  <c r="Q311" i="16"/>
  <c r="K311" i="16"/>
  <c r="E311" i="16"/>
  <c r="Q310" i="16"/>
  <c r="K310" i="16"/>
  <c r="E310" i="16"/>
  <c r="Q309" i="16"/>
  <c r="K309" i="16"/>
  <c r="E309" i="16"/>
  <c r="Q308" i="16"/>
  <c r="K308" i="16"/>
  <c r="E308" i="16"/>
  <c r="Q307" i="16"/>
  <c r="K307" i="16"/>
  <c r="E307" i="16"/>
  <c r="Q306" i="16"/>
  <c r="K306" i="16"/>
  <c r="E306" i="16"/>
  <c r="Q305" i="16"/>
  <c r="K305" i="16"/>
  <c r="E305" i="16"/>
  <c r="Q304" i="16"/>
  <c r="K304" i="16"/>
  <c r="E304" i="16"/>
  <c r="Q292" i="16"/>
  <c r="K292" i="16"/>
  <c r="E292" i="16"/>
  <c r="Q291" i="16"/>
  <c r="K291" i="16"/>
  <c r="E291" i="16"/>
  <c r="Q290" i="16"/>
  <c r="K290" i="16"/>
  <c r="E290" i="16"/>
  <c r="Q289" i="16"/>
  <c r="K289" i="16"/>
  <c r="E289" i="16"/>
  <c r="Q288" i="16"/>
  <c r="K288" i="16"/>
  <c r="E288" i="16"/>
  <c r="Q287" i="16"/>
  <c r="K287" i="16"/>
  <c r="E287" i="16"/>
  <c r="Q286" i="16"/>
  <c r="K286" i="16"/>
  <c r="E286" i="16"/>
  <c r="Q285" i="16"/>
  <c r="K285" i="16"/>
  <c r="E285" i="16"/>
  <c r="Q284" i="16"/>
  <c r="K284" i="16"/>
  <c r="E284" i="16"/>
  <c r="Q283" i="16"/>
  <c r="K283" i="16"/>
  <c r="E283" i="16"/>
  <c r="Q282" i="16"/>
  <c r="K282" i="16"/>
  <c r="E282" i="16"/>
  <c r="Q281" i="16"/>
  <c r="K281" i="16"/>
  <c r="E281" i="16"/>
  <c r="Q280" i="16"/>
  <c r="K280" i="16"/>
  <c r="E280" i="16"/>
  <c r="Q279" i="16"/>
  <c r="K279" i="16"/>
  <c r="E279" i="16"/>
  <c r="Q278" i="16"/>
  <c r="K278" i="16"/>
  <c r="E278" i="16"/>
  <c r="Q277" i="16"/>
  <c r="K277" i="16"/>
  <c r="E277" i="16"/>
  <c r="Q276" i="16"/>
  <c r="K276" i="16"/>
  <c r="E276" i="16"/>
  <c r="Q275" i="16"/>
  <c r="K275" i="16"/>
  <c r="E275" i="16"/>
  <c r="Q274" i="16"/>
  <c r="K274" i="16"/>
  <c r="E274" i="16"/>
  <c r="Q273" i="16"/>
  <c r="K273" i="16"/>
  <c r="E273" i="16"/>
  <c r="Q272" i="16"/>
  <c r="K272" i="16"/>
  <c r="E272" i="16"/>
  <c r="Q271" i="16"/>
  <c r="K271" i="16"/>
  <c r="E271" i="16"/>
  <c r="Q270" i="16"/>
  <c r="K270" i="16"/>
  <c r="E270" i="16"/>
  <c r="Q269" i="16"/>
  <c r="K269" i="16"/>
  <c r="E269" i="16"/>
  <c r="Q268" i="16"/>
  <c r="K268" i="16"/>
  <c r="E268" i="16"/>
  <c r="Q267" i="16"/>
  <c r="K267" i="16"/>
  <c r="E267" i="16"/>
  <c r="Q266" i="16"/>
  <c r="K266" i="16"/>
  <c r="E266" i="16"/>
  <c r="K254" i="16"/>
  <c r="E254" i="16"/>
  <c r="K253" i="16"/>
  <c r="E253" i="16"/>
  <c r="K252" i="16"/>
  <c r="E252" i="16"/>
  <c r="K251" i="16"/>
  <c r="E251" i="16"/>
  <c r="K250" i="16"/>
  <c r="E250" i="16"/>
  <c r="K249" i="16"/>
  <c r="E249" i="16"/>
  <c r="K248" i="16"/>
  <c r="E248" i="16"/>
  <c r="K247" i="16"/>
  <c r="E247" i="16"/>
  <c r="K246" i="16"/>
  <c r="E246" i="16"/>
  <c r="K245" i="16"/>
  <c r="E245" i="16"/>
  <c r="K244" i="16"/>
  <c r="E244" i="16"/>
  <c r="K243" i="16"/>
  <c r="E243" i="16"/>
  <c r="K242" i="16"/>
  <c r="E242" i="16"/>
  <c r="K241" i="16"/>
  <c r="E241" i="16"/>
  <c r="K240" i="16"/>
  <c r="E240" i="16"/>
  <c r="K239" i="16"/>
  <c r="E239" i="16"/>
  <c r="K238" i="16"/>
  <c r="E238" i="16"/>
  <c r="K237" i="16"/>
  <c r="E237" i="16"/>
  <c r="K236" i="16"/>
  <c r="E236" i="16"/>
  <c r="K235" i="16"/>
  <c r="E235" i="16"/>
  <c r="K234" i="16"/>
  <c r="E234" i="16"/>
  <c r="K233" i="16"/>
  <c r="E233" i="16"/>
  <c r="K232" i="16"/>
  <c r="E232" i="16"/>
  <c r="K227" i="16"/>
  <c r="Q226" i="16"/>
  <c r="K226" i="16"/>
  <c r="Q225" i="16"/>
  <c r="K225" i="16"/>
  <c r="E225" i="16"/>
  <c r="Q224" i="16"/>
  <c r="K224" i="16"/>
  <c r="E224" i="16"/>
  <c r="Q223" i="16"/>
  <c r="K223" i="16"/>
  <c r="E223" i="16"/>
  <c r="Q222" i="16"/>
  <c r="K222" i="16"/>
  <c r="E222" i="16"/>
  <c r="Q221" i="16"/>
  <c r="K221" i="16"/>
  <c r="E221" i="16"/>
  <c r="Q220" i="16"/>
  <c r="K220" i="16"/>
  <c r="E220" i="16"/>
  <c r="Q219" i="16"/>
  <c r="K219" i="16"/>
  <c r="E219" i="16"/>
  <c r="Q218" i="16"/>
  <c r="K218" i="16"/>
  <c r="E218" i="16"/>
  <c r="Q217" i="16"/>
  <c r="K217" i="16"/>
  <c r="E217" i="16"/>
  <c r="Q216" i="16"/>
  <c r="K216" i="16"/>
  <c r="E216" i="16"/>
  <c r="Q215" i="16"/>
  <c r="K215" i="16"/>
  <c r="E215" i="16"/>
  <c r="Q214" i="16"/>
  <c r="K214" i="16"/>
  <c r="E214" i="16"/>
  <c r="Q213" i="16"/>
  <c r="K213" i="16"/>
  <c r="E213" i="16"/>
  <c r="Q212" i="16"/>
  <c r="K212" i="16"/>
  <c r="E212" i="16"/>
  <c r="Q211" i="16"/>
  <c r="K211" i="16"/>
  <c r="E211" i="16"/>
  <c r="Q210" i="16"/>
  <c r="K210" i="16"/>
  <c r="E210" i="16"/>
  <c r="Q209" i="16"/>
  <c r="K209" i="16"/>
  <c r="E209" i="16"/>
  <c r="Q208" i="16"/>
  <c r="K208" i="16"/>
  <c r="E208" i="16"/>
  <c r="Q207" i="16"/>
  <c r="K207" i="16"/>
  <c r="E207" i="16"/>
  <c r="Q206" i="16"/>
  <c r="K206" i="16"/>
  <c r="E206" i="16"/>
  <c r="Q205" i="16"/>
  <c r="K205" i="16"/>
  <c r="E205" i="16"/>
  <c r="Q204" i="16"/>
  <c r="K204" i="16"/>
  <c r="E204" i="16"/>
  <c r="Q203" i="16"/>
  <c r="K203" i="16"/>
  <c r="E203" i="16"/>
  <c r="Q191" i="16"/>
  <c r="K191" i="16"/>
  <c r="E191" i="16"/>
  <c r="Q190" i="16"/>
  <c r="K190" i="16"/>
  <c r="E190" i="16"/>
  <c r="Q189" i="16"/>
  <c r="K189" i="16"/>
  <c r="E189" i="16"/>
  <c r="Q188" i="16"/>
  <c r="K188" i="16"/>
  <c r="E188" i="16"/>
  <c r="Q187" i="16"/>
  <c r="K187" i="16"/>
  <c r="E187" i="16"/>
  <c r="Q186" i="16"/>
  <c r="K186" i="16"/>
  <c r="E186" i="16"/>
  <c r="Q185" i="16"/>
  <c r="K185" i="16"/>
  <c r="E185" i="16"/>
  <c r="Q184" i="16"/>
  <c r="K184" i="16"/>
  <c r="E184" i="16"/>
  <c r="Q183" i="16"/>
  <c r="K183" i="16"/>
  <c r="E183" i="16"/>
  <c r="Q182" i="16"/>
  <c r="K182" i="16"/>
  <c r="E182" i="16"/>
  <c r="Q181" i="16"/>
  <c r="K181" i="16"/>
  <c r="E181" i="16"/>
  <c r="Q180" i="16"/>
  <c r="K180" i="16"/>
  <c r="E180" i="16"/>
  <c r="Q179" i="16"/>
  <c r="K179" i="16"/>
  <c r="E179" i="16"/>
  <c r="Q178" i="16"/>
  <c r="K178" i="16"/>
  <c r="E178" i="16"/>
  <c r="Q177" i="16"/>
  <c r="K177" i="16"/>
  <c r="E177" i="16"/>
  <c r="Q176" i="16"/>
  <c r="K176" i="16"/>
  <c r="E176" i="16"/>
  <c r="Q175" i="16"/>
  <c r="K175" i="16"/>
  <c r="E175" i="16"/>
  <c r="Q174" i="16"/>
  <c r="K174" i="16"/>
  <c r="E174" i="16"/>
  <c r="Q173" i="16"/>
  <c r="K173" i="16"/>
  <c r="E173" i="16"/>
  <c r="Q172" i="16"/>
  <c r="K172" i="16"/>
  <c r="E172" i="16"/>
  <c r="Q171" i="16"/>
  <c r="K171" i="16"/>
  <c r="E171" i="16"/>
  <c r="Q170" i="16"/>
  <c r="K170" i="16"/>
  <c r="E170" i="16"/>
  <c r="Q169" i="16"/>
  <c r="K169" i="16"/>
  <c r="E169" i="16"/>
  <c r="K155" i="16"/>
  <c r="K154" i="16"/>
  <c r="K153" i="16"/>
  <c r="K152" i="16"/>
  <c r="K151" i="16"/>
  <c r="K150" i="16"/>
  <c r="K149" i="16"/>
  <c r="Q148" i="16"/>
  <c r="K148" i="16"/>
  <c r="Q147" i="16"/>
  <c r="K147" i="16"/>
  <c r="Q146" i="16"/>
  <c r="K146" i="16"/>
  <c r="E146" i="16"/>
  <c r="Q145" i="16"/>
  <c r="K145" i="16"/>
  <c r="E145" i="16"/>
  <c r="Q144" i="16"/>
  <c r="K144" i="16"/>
  <c r="E144" i="16"/>
  <c r="Q143" i="16"/>
  <c r="K143" i="16"/>
  <c r="E143" i="16"/>
  <c r="Q142" i="16"/>
  <c r="K142" i="16"/>
  <c r="E142" i="16"/>
  <c r="Q141" i="16"/>
  <c r="K141" i="16"/>
  <c r="E141" i="16"/>
  <c r="Q140" i="16"/>
  <c r="K140" i="16"/>
  <c r="E140" i="16"/>
  <c r="Q139" i="16"/>
  <c r="K139" i="16"/>
  <c r="E139" i="16"/>
  <c r="Q138" i="16"/>
  <c r="K138" i="16"/>
  <c r="E138" i="16"/>
  <c r="Q137" i="16"/>
  <c r="K137" i="16"/>
  <c r="E137" i="16"/>
  <c r="Q136" i="16"/>
  <c r="K136" i="16"/>
  <c r="E136" i="16"/>
  <c r="Q135" i="16"/>
  <c r="K135" i="16"/>
  <c r="E135" i="16"/>
  <c r="Q134" i="16"/>
  <c r="K134" i="16"/>
  <c r="E134" i="16"/>
  <c r="Q133" i="16"/>
  <c r="K133" i="16"/>
  <c r="E133" i="16"/>
  <c r="Q132" i="16"/>
  <c r="K132" i="16"/>
  <c r="E132" i="16"/>
  <c r="Q131" i="16"/>
  <c r="K131" i="16"/>
  <c r="E131" i="16"/>
  <c r="Q130" i="16"/>
  <c r="K130" i="16"/>
  <c r="E130" i="16"/>
  <c r="Q129" i="16"/>
  <c r="K129" i="16"/>
  <c r="E129" i="16"/>
  <c r="Q128" i="16"/>
  <c r="K128" i="16"/>
  <c r="E128" i="16"/>
  <c r="Q127" i="16"/>
  <c r="K127" i="16"/>
  <c r="E127" i="16"/>
  <c r="Q126" i="16"/>
  <c r="K126" i="16"/>
  <c r="E126" i="16"/>
  <c r="Q125" i="16"/>
  <c r="K125" i="16"/>
  <c r="E125" i="16"/>
  <c r="Q124" i="16"/>
  <c r="K124" i="16"/>
  <c r="E124" i="16"/>
  <c r="Q123" i="16"/>
  <c r="K123" i="16"/>
  <c r="E123" i="16"/>
  <c r="Q122" i="16"/>
  <c r="K122" i="16"/>
  <c r="E122" i="16"/>
  <c r="E110" i="16"/>
  <c r="Q109" i="16"/>
  <c r="K109" i="16"/>
  <c r="E109" i="16"/>
  <c r="Q108" i="16"/>
  <c r="K108" i="16"/>
  <c r="E108" i="16"/>
  <c r="Q107" i="16"/>
  <c r="K107" i="16"/>
  <c r="E107" i="16"/>
  <c r="Q106" i="16"/>
  <c r="K106" i="16"/>
  <c r="E106" i="16"/>
  <c r="Q105" i="16"/>
  <c r="K105" i="16"/>
  <c r="E105" i="16"/>
  <c r="Q104" i="16"/>
  <c r="K104" i="16"/>
  <c r="E104" i="16"/>
  <c r="Q103" i="16"/>
  <c r="K103" i="16"/>
  <c r="E103" i="16"/>
  <c r="Q102" i="16"/>
  <c r="K102" i="16"/>
  <c r="E102" i="16"/>
  <c r="Q101" i="16"/>
  <c r="K101" i="16"/>
  <c r="E101" i="16"/>
  <c r="Q100" i="16"/>
  <c r="K100" i="16"/>
  <c r="E100" i="16"/>
  <c r="Q99" i="16"/>
  <c r="K99" i="16"/>
  <c r="E99" i="16"/>
  <c r="Q98" i="16"/>
  <c r="K98" i="16"/>
  <c r="E98" i="16"/>
  <c r="Q97" i="16"/>
  <c r="K97" i="16"/>
  <c r="E97" i="16"/>
  <c r="Q96" i="16"/>
  <c r="K96" i="16"/>
  <c r="E96" i="16"/>
  <c r="Q95" i="16"/>
  <c r="K95" i="16"/>
  <c r="E95" i="16"/>
  <c r="Q94" i="16"/>
  <c r="K94" i="16"/>
  <c r="E94" i="16"/>
  <c r="Q93" i="16"/>
  <c r="K93" i="16"/>
  <c r="E93" i="16"/>
  <c r="Q92" i="16"/>
  <c r="K92" i="16"/>
  <c r="E92" i="16"/>
  <c r="Q91" i="16"/>
  <c r="K91" i="16"/>
  <c r="E91" i="16"/>
  <c r="Q90" i="16"/>
  <c r="K90" i="16"/>
  <c r="E90" i="16"/>
  <c r="Q89" i="16"/>
  <c r="K89" i="16"/>
  <c r="E89" i="16"/>
  <c r="Q88" i="16"/>
  <c r="K88" i="16"/>
  <c r="E88" i="16"/>
  <c r="Q87" i="16"/>
  <c r="K87" i="16"/>
  <c r="E87" i="16"/>
  <c r="Q86" i="16"/>
  <c r="K86" i="16"/>
  <c r="E86" i="16"/>
  <c r="Q85" i="16"/>
  <c r="K85" i="16"/>
  <c r="E85" i="16"/>
  <c r="Q84" i="16"/>
  <c r="K84" i="16"/>
  <c r="E84" i="16"/>
  <c r="Q83" i="16"/>
  <c r="K83" i="16"/>
  <c r="E83" i="16"/>
  <c r="Q82" i="16"/>
  <c r="K82" i="16"/>
  <c r="E82" i="16"/>
  <c r="Q81" i="16"/>
  <c r="K81" i="16"/>
  <c r="E81" i="16"/>
  <c r="Q76" i="16"/>
  <c r="E76" i="16"/>
  <c r="Q75" i="16"/>
  <c r="K75" i="16"/>
  <c r="E75" i="16"/>
  <c r="Q74" i="16"/>
  <c r="K74" i="16"/>
  <c r="E74" i="16"/>
  <c r="Q73" i="16"/>
  <c r="K73" i="16"/>
  <c r="E73" i="16"/>
  <c r="Q72" i="16"/>
  <c r="K72" i="16"/>
  <c r="E72" i="16"/>
  <c r="Q71" i="16"/>
  <c r="K71" i="16"/>
  <c r="E71" i="16"/>
  <c r="Q70" i="16"/>
  <c r="K70" i="16"/>
  <c r="E70" i="16"/>
  <c r="Q69" i="16"/>
  <c r="K69" i="16"/>
  <c r="E69" i="16"/>
  <c r="Q68" i="16"/>
  <c r="K68" i="16"/>
  <c r="E68" i="16"/>
  <c r="Q67" i="16"/>
  <c r="K67" i="16"/>
  <c r="E67" i="16"/>
  <c r="Q66" i="16"/>
  <c r="K66" i="16"/>
  <c r="E66" i="16"/>
  <c r="Q65" i="16"/>
  <c r="K65" i="16"/>
  <c r="E65" i="16"/>
  <c r="Q64" i="16"/>
  <c r="K64" i="16"/>
  <c r="E64" i="16"/>
  <c r="Q63" i="16"/>
  <c r="K63" i="16"/>
  <c r="E63" i="16"/>
  <c r="Q62" i="16"/>
  <c r="K62" i="16"/>
  <c r="E62" i="16"/>
  <c r="Q61" i="16"/>
  <c r="K61" i="16"/>
  <c r="E61" i="16"/>
  <c r="Q60" i="16"/>
  <c r="K60" i="16"/>
  <c r="E60" i="16"/>
  <c r="Q59" i="16"/>
  <c r="K59" i="16"/>
  <c r="E59" i="16"/>
  <c r="Q58" i="16"/>
  <c r="K58" i="16"/>
  <c r="E58" i="16"/>
  <c r="Q57" i="16"/>
  <c r="K57" i="16"/>
  <c r="E57" i="16"/>
  <c r="Q56" i="16"/>
  <c r="K56" i="16"/>
  <c r="E56" i="16"/>
  <c r="Q55" i="16"/>
  <c r="K55" i="16"/>
  <c r="E55" i="16"/>
  <c r="Q54" i="16"/>
  <c r="K54" i="16"/>
  <c r="E54" i="16"/>
  <c r="Q53" i="16"/>
  <c r="K53" i="16"/>
  <c r="E53" i="16"/>
  <c r="Q52" i="16"/>
  <c r="K52" i="16"/>
  <c r="E52" i="16"/>
  <c r="Q51" i="16"/>
  <c r="K51" i="16"/>
  <c r="E51" i="16"/>
  <c r="Q50" i="16"/>
  <c r="K50" i="16"/>
  <c r="E50" i="16"/>
  <c r="Q49" i="16"/>
  <c r="K49" i="16"/>
  <c r="E49" i="16"/>
  <c r="Q48" i="16"/>
  <c r="K48" i="16"/>
  <c r="E48" i="16"/>
  <c r="Q47" i="16"/>
  <c r="K47" i="16"/>
  <c r="E47" i="16"/>
  <c r="Q35" i="16"/>
  <c r="K35" i="16"/>
  <c r="Q34" i="16"/>
  <c r="K34" i="16"/>
  <c r="E34" i="16"/>
  <c r="Q33" i="16"/>
  <c r="K33" i="16"/>
  <c r="E33" i="16"/>
  <c r="Q32" i="16"/>
  <c r="K32" i="16"/>
  <c r="E32" i="16"/>
  <c r="Q31" i="16"/>
  <c r="K31" i="16"/>
  <c r="E31" i="16"/>
  <c r="Q30" i="16"/>
  <c r="K30" i="16"/>
  <c r="E30" i="16"/>
  <c r="Q29" i="16"/>
  <c r="K29" i="16"/>
  <c r="E29" i="16"/>
  <c r="Q28" i="16"/>
  <c r="K28" i="16"/>
  <c r="E28" i="16"/>
  <c r="Q27" i="16"/>
  <c r="K27" i="16"/>
  <c r="E27" i="16"/>
  <c r="Q26" i="16"/>
  <c r="K26" i="16"/>
  <c r="E26" i="16"/>
  <c r="Q25" i="16"/>
  <c r="K25" i="16"/>
  <c r="E25" i="16"/>
  <c r="Q24" i="16"/>
  <c r="K24" i="16"/>
  <c r="E24" i="16"/>
  <c r="Q23" i="16"/>
  <c r="K23" i="16"/>
  <c r="E23" i="16"/>
  <c r="Q22" i="16"/>
  <c r="K22" i="16"/>
  <c r="E22" i="16"/>
  <c r="Q21" i="16"/>
  <c r="K21" i="16"/>
  <c r="E21" i="16"/>
  <c r="Q20" i="16"/>
  <c r="K20" i="16"/>
  <c r="E20" i="16"/>
  <c r="Q19" i="16"/>
  <c r="K19" i="16"/>
  <c r="E19" i="16"/>
  <c r="Q18" i="16"/>
  <c r="K18" i="16"/>
  <c r="E18" i="16"/>
  <c r="Q17" i="16"/>
  <c r="K17" i="16"/>
  <c r="E17" i="16"/>
  <c r="Q16" i="16"/>
  <c r="K16" i="16"/>
  <c r="E16" i="16"/>
  <c r="Q15" i="16"/>
  <c r="K15" i="16"/>
  <c r="E15" i="16"/>
  <c r="Q14" i="16"/>
  <c r="K14" i="16"/>
  <c r="E14" i="16"/>
  <c r="Q13" i="16"/>
  <c r="K13" i="16"/>
  <c r="E13" i="16"/>
  <c r="A1" i="16"/>
  <c r="I131" i="35"/>
  <c r="H131" i="35"/>
  <c r="G131" i="35"/>
  <c r="F131" i="35"/>
  <c r="E131" i="35"/>
  <c r="F39" i="35"/>
  <c r="K9" i="35"/>
  <c r="J9" i="35"/>
  <c r="I9" i="35"/>
  <c r="H9" i="35"/>
  <c r="G9" i="35"/>
  <c r="F9" i="35"/>
  <c r="E9" i="35"/>
  <c r="B1" i="35"/>
  <c r="D123" i="33"/>
  <c r="D122" i="33"/>
  <c r="D121" i="33"/>
  <c r="D120" i="33"/>
  <c r="D119" i="33"/>
  <c r="D118" i="33"/>
  <c r="D117" i="33"/>
  <c r="D116" i="33"/>
  <c r="D115" i="33"/>
  <c r="D114" i="33"/>
  <c r="D113" i="33"/>
  <c r="D112" i="33"/>
  <c r="D111" i="33"/>
  <c r="D110" i="33"/>
  <c r="D109" i="33"/>
  <c r="D108" i="33"/>
  <c r="D107" i="33"/>
  <c r="D106" i="33"/>
  <c r="D105" i="33"/>
  <c r="D104" i="33"/>
  <c r="D103" i="33"/>
  <c r="D102" i="33"/>
  <c r="D101" i="33"/>
  <c r="D100" i="33"/>
  <c r="D99" i="33"/>
  <c r="D98" i="33"/>
  <c r="D97" i="33"/>
  <c r="D96" i="33"/>
  <c r="D95" i="33"/>
  <c r="D94" i="33"/>
  <c r="D93" i="33"/>
  <c r="D92" i="33"/>
  <c r="D91" i="33"/>
  <c r="D90" i="33"/>
  <c r="D89" i="33"/>
  <c r="D88" i="33"/>
  <c r="D87" i="33"/>
  <c r="H86" i="33"/>
  <c r="G86" i="33"/>
  <c r="F86" i="33"/>
  <c r="E86" i="33"/>
  <c r="D73" i="33"/>
  <c r="D72" i="33"/>
  <c r="D71" i="33"/>
  <c r="D70" i="33"/>
  <c r="D69" i="33"/>
  <c r="D68" i="33"/>
  <c r="D67" i="33"/>
  <c r="D66" i="33"/>
  <c r="D65" i="33"/>
  <c r="D64" i="33"/>
  <c r="D63" i="33"/>
  <c r="D62" i="33"/>
  <c r="D61" i="33"/>
  <c r="D60" i="33"/>
  <c r="D59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D7" i="33"/>
  <c r="K6" i="33"/>
  <c r="J6" i="33"/>
  <c r="I6" i="33"/>
  <c r="H6" i="33"/>
  <c r="G6" i="33"/>
  <c r="F6" i="33"/>
  <c r="E6" i="33"/>
  <c r="B1" i="33"/>
  <c r="P472" i="30"/>
  <c r="G470" i="30"/>
  <c r="G460" i="30"/>
  <c r="G438" i="30"/>
  <c r="E437" i="30"/>
  <c r="E436" i="30"/>
  <c r="E435" i="30"/>
  <c r="E434" i="30"/>
  <c r="E433" i="30"/>
  <c r="E432" i="30"/>
  <c r="E431" i="30"/>
  <c r="E430" i="30"/>
  <c r="E429" i="30"/>
  <c r="E428" i="30"/>
  <c r="E427" i="30"/>
  <c r="E426" i="30"/>
  <c r="E425" i="30"/>
  <c r="E424" i="30"/>
  <c r="E423" i="30"/>
  <c r="E422" i="30"/>
  <c r="E421" i="30"/>
  <c r="E420" i="30"/>
  <c r="E419" i="30"/>
  <c r="E418" i="30"/>
  <c r="E417" i="30"/>
  <c r="E416" i="30"/>
  <c r="E415" i="30"/>
  <c r="E414" i="30"/>
  <c r="E413" i="30"/>
  <c r="E412" i="30"/>
  <c r="E411" i="30"/>
  <c r="E410" i="30"/>
  <c r="E409" i="30"/>
  <c r="E408" i="30"/>
  <c r="E407" i="30"/>
  <c r="E406" i="30"/>
  <c r="E405" i="30"/>
  <c r="E404" i="30"/>
  <c r="E403" i="30"/>
  <c r="E402" i="30"/>
  <c r="E401" i="30"/>
  <c r="E400" i="30"/>
  <c r="E399" i="30"/>
  <c r="E398" i="30"/>
  <c r="E397" i="30"/>
  <c r="E396" i="30"/>
  <c r="E395" i="30"/>
  <c r="E394" i="30"/>
  <c r="E393" i="30"/>
  <c r="E392" i="30"/>
  <c r="E391" i="30"/>
  <c r="E390" i="30"/>
  <c r="E389" i="30"/>
  <c r="E388" i="30"/>
  <c r="E387" i="30"/>
  <c r="E386" i="30"/>
  <c r="E385" i="30"/>
  <c r="E384" i="30"/>
  <c r="E383" i="30"/>
  <c r="E382" i="30"/>
  <c r="E381" i="30"/>
  <c r="E380" i="30"/>
  <c r="E379" i="30"/>
  <c r="E378" i="30"/>
  <c r="E377" i="30"/>
  <c r="E376" i="30"/>
  <c r="E375" i="30"/>
  <c r="E374" i="30"/>
  <c r="E373" i="30"/>
  <c r="E372" i="30"/>
  <c r="E371" i="30"/>
  <c r="E370" i="30"/>
  <c r="E369" i="30"/>
  <c r="E368" i="30"/>
  <c r="E367" i="30"/>
  <c r="E366" i="30"/>
  <c r="E365" i="30"/>
  <c r="E364" i="30"/>
  <c r="E363" i="30"/>
  <c r="E362" i="30"/>
  <c r="E361" i="30"/>
  <c r="E360" i="30"/>
  <c r="E359" i="30"/>
  <c r="E358" i="30"/>
  <c r="E357" i="30"/>
  <c r="E356" i="30"/>
  <c r="E355" i="30"/>
  <c r="E354" i="30"/>
  <c r="E353" i="30"/>
  <c r="E352" i="30"/>
  <c r="E351" i="30"/>
  <c r="E350" i="30"/>
  <c r="E349" i="30"/>
  <c r="E348" i="30"/>
  <c r="E347" i="30"/>
  <c r="E346" i="30"/>
  <c r="E345" i="30"/>
  <c r="E344" i="30"/>
  <c r="E343" i="30"/>
  <c r="E342" i="30"/>
  <c r="E341" i="30"/>
  <c r="E340" i="30"/>
  <c r="E339" i="30"/>
  <c r="E338" i="30"/>
  <c r="E337" i="30"/>
  <c r="E336" i="30"/>
  <c r="E335" i="30"/>
  <c r="E334" i="30"/>
  <c r="E333" i="30"/>
  <c r="E332" i="30"/>
  <c r="E331" i="30"/>
  <c r="E330" i="30"/>
  <c r="E329" i="30"/>
  <c r="E328" i="30"/>
  <c r="E327" i="30"/>
  <c r="E326" i="30"/>
  <c r="E325" i="30"/>
  <c r="E324" i="30"/>
  <c r="E323" i="30"/>
  <c r="E322" i="30"/>
  <c r="E321" i="30"/>
  <c r="E320" i="30"/>
  <c r="E319" i="30"/>
  <c r="E318" i="30"/>
  <c r="E317" i="30"/>
  <c r="E316" i="30"/>
  <c r="E315" i="30"/>
  <c r="E314" i="30"/>
  <c r="E313" i="30"/>
  <c r="E312" i="30"/>
  <c r="E311" i="30"/>
  <c r="E310" i="30"/>
  <c r="E309" i="30"/>
  <c r="E308" i="30"/>
  <c r="E307" i="30"/>
  <c r="E306" i="30"/>
  <c r="E305" i="30"/>
  <c r="E304" i="30"/>
  <c r="E303" i="30"/>
  <c r="E302" i="30"/>
  <c r="E301" i="30"/>
  <c r="E300" i="30"/>
  <c r="E299" i="30"/>
  <c r="E298" i="30"/>
  <c r="E297" i="30"/>
  <c r="E296" i="30"/>
  <c r="E295" i="30"/>
  <c r="E294" i="30"/>
  <c r="E293" i="30"/>
  <c r="E292" i="30"/>
  <c r="E291" i="30"/>
  <c r="E290" i="30"/>
  <c r="E289" i="30"/>
  <c r="E288" i="30"/>
  <c r="E287" i="30"/>
  <c r="E286" i="30"/>
  <c r="E285" i="30"/>
  <c r="E284" i="30"/>
  <c r="E283" i="30"/>
  <c r="E282" i="30"/>
  <c r="E281" i="30"/>
  <c r="E280" i="30"/>
  <c r="E279" i="30"/>
  <c r="E278" i="30"/>
  <c r="E277" i="30"/>
  <c r="E276" i="30"/>
  <c r="E275" i="30"/>
  <c r="E274" i="30"/>
  <c r="E273" i="30"/>
  <c r="E272" i="30"/>
  <c r="E271" i="30"/>
  <c r="E270" i="30"/>
  <c r="E269" i="30"/>
  <c r="E268" i="30"/>
  <c r="E267" i="30"/>
  <c r="E266" i="30"/>
  <c r="E265" i="30"/>
  <c r="E264" i="30"/>
  <c r="E263" i="30"/>
  <c r="E262" i="30"/>
  <c r="E261" i="30"/>
  <c r="E260" i="30"/>
  <c r="E259" i="30"/>
  <c r="E258" i="30"/>
  <c r="E257" i="30"/>
  <c r="E256" i="30"/>
  <c r="E255" i="30"/>
  <c r="E254" i="30"/>
  <c r="E253" i="30"/>
  <c r="E252" i="30"/>
  <c r="E251" i="30"/>
  <c r="E250" i="30"/>
  <c r="E249" i="30"/>
  <c r="E248" i="30"/>
  <c r="E247" i="30"/>
  <c r="E246" i="30"/>
  <c r="E245" i="30"/>
  <c r="E244" i="30"/>
  <c r="E243" i="30"/>
  <c r="L242" i="30"/>
  <c r="E242" i="30" s="1"/>
  <c r="E241" i="30"/>
  <c r="E240" i="30"/>
  <c r="E239" i="30"/>
  <c r="E238" i="30"/>
  <c r="E237" i="30"/>
  <c r="E236" i="30"/>
  <c r="E235" i="30"/>
  <c r="E234" i="30"/>
  <c r="E233" i="30"/>
  <c r="E232" i="30"/>
  <c r="E231" i="30"/>
  <c r="E230" i="30"/>
  <c r="E229" i="30"/>
  <c r="E228" i="30"/>
  <c r="E227" i="30"/>
  <c r="E226" i="30"/>
  <c r="E225" i="30"/>
  <c r="E224" i="30"/>
  <c r="E223" i="30"/>
  <c r="E222" i="30"/>
  <c r="E221" i="30"/>
  <c r="E220" i="30"/>
  <c r="E219" i="30"/>
  <c r="G218" i="30"/>
  <c r="E218" i="30"/>
  <c r="E217" i="30"/>
  <c r="E216" i="30"/>
  <c r="E215" i="30"/>
  <c r="E214" i="30"/>
  <c r="E213" i="30"/>
  <c r="E212" i="30"/>
  <c r="E211" i="30"/>
  <c r="E210" i="30"/>
  <c r="E209" i="30"/>
  <c r="E208" i="30"/>
  <c r="E207" i="30"/>
  <c r="E206" i="30"/>
  <c r="E205" i="30"/>
  <c r="E204" i="30"/>
  <c r="E203" i="30"/>
  <c r="E202" i="30"/>
  <c r="E201" i="30"/>
  <c r="E200" i="30"/>
  <c r="E199" i="30"/>
  <c r="E198" i="30"/>
  <c r="E197" i="30"/>
  <c r="E196" i="30"/>
  <c r="E195" i="30"/>
  <c r="E194" i="30"/>
  <c r="E193" i="30"/>
  <c r="E192" i="30"/>
  <c r="E191" i="30"/>
  <c r="E190" i="30"/>
  <c r="E189" i="30"/>
  <c r="E188" i="30"/>
  <c r="E187" i="30"/>
  <c r="E186" i="30"/>
  <c r="E185" i="30"/>
  <c r="E184" i="30"/>
  <c r="E183" i="30"/>
  <c r="E182" i="30"/>
  <c r="E181" i="30"/>
  <c r="E180" i="30"/>
  <c r="E179" i="30"/>
  <c r="E178" i="30"/>
  <c r="E177" i="30"/>
  <c r="E176" i="30"/>
  <c r="E175" i="30"/>
  <c r="E174" i="30"/>
  <c r="K173" i="30"/>
  <c r="E173" i="30" s="1"/>
  <c r="E172" i="30"/>
  <c r="E171" i="30"/>
  <c r="E170" i="30"/>
  <c r="E169" i="30"/>
  <c r="E168" i="30"/>
  <c r="E167" i="30"/>
  <c r="E166" i="30"/>
  <c r="E165" i="30"/>
  <c r="E164" i="30"/>
  <c r="E163" i="30"/>
  <c r="E162" i="30"/>
  <c r="E161" i="30"/>
  <c r="E160" i="30"/>
  <c r="E159" i="30"/>
  <c r="E158" i="30"/>
  <c r="E157" i="30"/>
  <c r="E156" i="30"/>
  <c r="E155" i="30"/>
  <c r="E154" i="30"/>
  <c r="E153" i="30"/>
  <c r="E152" i="30"/>
  <c r="E151" i="30"/>
  <c r="E150" i="30"/>
  <c r="E149" i="30"/>
  <c r="E148" i="30"/>
  <c r="E147" i="30"/>
  <c r="E146" i="30"/>
  <c r="E145" i="30"/>
  <c r="G144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Q120" i="30"/>
  <c r="Q9" i="30" s="1"/>
  <c r="P120" i="30"/>
  <c r="P10" i="30" s="1"/>
  <c r="M120" i="30"/>
  <c r="M10" i="30" s="1"/>
  <c r="L120" i="30"/>
  <c r="I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8" i="30"/>
  <c r="E67" i="30"/>
  <c r="E66" i="30"/>
  <c r="E64" i="30"/>
  <c r="E65" i="30"/>
  <c r="E69" i="30"/>
  <c r="E63" i="30"/>
  <c r="E62" i="30"/>
  <c r="E61" i="30"/>
  <c r="E60" i="30"/>
  <c r="E59" i="30"/>
  <c r="E58" i="30"/>
  <c r="E57" i="30"/>
  <c r="E56" i="30"/>
  <c r="E55" i="30"/>
  <c r="E54" i="30"/>
  <c r="E53" i="30"/>
  <c r="E51" i="30"/>
  <c r="E50" i="30"/>
  <c r="E49" i="30"/>
  <c r="E48" i="30"/>
  <c r="E47" i="30"/>
  <c r="E46" i="30"/>
  <c r="E45" i="30"/>
  <c r="E44" i="30"/>
  <c r="E42" i="30"/>
  <c r="E41" i="30"/>
  <c r="E40" i="30"/>
  <c r="E39" i="30"/>
  <c r="E38" i="30"/>
  <c r="E37" i="30"/>
  <c r="E43" i="30"/>
  <c r="E36" i="30"/>
  <c r="E35" i="30"/>
  <c r="E34" i="30"/>
  <c r="E32" i="30"/>
  <c r="E33" i="30"/>
  <c r="E31" i="30"/>
  <c r="E30" i="30"/>
  <c r="E29" i="30"/>
  <c r="E27" i="30"/>
  <c r="E28" i="30"/>
  <c r="E26" i="30"/>
  <c r="E24" i="30"/>
  <c r="E25" i="30"/>
  <c r="E23" i="30"/>
  <c r="E22" i="30"/>
  <c r="E21" i="30"/>
  <c r="E20" i="30"/>
  <c r="E19" i="30"/>
  <c r="E17" i="30"/>
  <c r="E18" i="30"/>
  <c r="E16" i="30"/>
  <c r="E15" i="30"/>
  <c r="E14" i="30"/>
  <c r="E13" i="30"/>
  <c r="E12" i="30"/>
  <c r="P11" i="30"/>
  <c r="O11" i="30"/>
  <c r="J11" i="30"/>
  <c r="O10" i="30"/>
  <c r="N10" i="30"/>
  <c r="J10" i="30"/>
  <c r="P9" i="30"/>
  <c r="O9" i="30"/>
  <c r="N9" i="30"/>
  <c r="J9" i="30"/>
  <c r="X6" i="30"/>
  <c r="X462" i="30" s="1"/>
  <c r="C1" i="30"/>
  <c r="D214" i="35" l="1"/>
  <c r="D136" i="35"/>
  <c r="D209" i="35"/>
  <c r="D145" i="35"/>
  <c r="D201" i="35"/>
  <c r="D135" i="35"/>
  <c r="D143" i="35"/>
  <c r="D151" i="35"/>
  <c r="D159" i="35"/>
  <c r="D167" i="35"/>
  <c r="D175" i="35"/>
  <c r="D183" i="35"/>
  <c r="D191" i="35"/>
  <c r="D199" i="35"/>
  <c r="D207" i="35"/>
  <c r="D215" i="35"/>
  <c r="D177" i="35"/>
  <c r="D144" i="35"/>
  <c r="D152" i="35"/>
  <c r="D160" i="35"/>
  <c r="D168" i="35"/>
  <c r="D176" i="35"/>
  <c r="D184" i="35"/>
  <c r="D192" i="35"/>
  <c r="D200" i="35"/>
  <c r="D208" i="35"/>
  <c r="D216" i="35"/>
  <c r="D161" i="35"/>
  <c r="D185" i="35"/>
  <c r="D138" i="35"/>
  <c r="D146" i="35"/>
  <c r="D154" i="35"/>
  <c r="D162" i="35"/>
  <c r="D170" i="35"/>
  <c r="D178" i="35"/>
  <c r="D186" i="35"/>
  <c r="D194" i="35"/>
  <c r="D202" i="35"/>
  <c r="D210" i="35"/>
  <c r="D169" i="35"/>
  <c r="D139" i="35"/>
  <c r="D147" i="35"/>
  <c r="D155" i="35"/>
  <c r="D163" i="35"/>
  <c r="D171" i="35"/>
  <c r="D179" i="35"/>
  <c r="D187" i="35"/>
  <c r="D195" i="35"/>
  <c r="D203" i="35"/>
  <c r="D211" i="35"/>
  <c r="D132" i="35"/>
  <c r="D140" i="35"/>
  <c r="D148" i="35"/>
  <c r="D156" i="35"/>
  <c r="D164" i="35"/>
  <c r="D172" i="35"/>
  <c r="D180" i="35"/>
  <c r="D188" i="35"/>
  <c r="D196" i="35"/>
  <c r="D204" i="35"/>
  <c r="D212" i="35"/>
  <c r="D137" i="35"/>
  <c r="D193" i="35"/>
  <c r="D133" i="35"/>
  <c r="D141" i="35"/>
  <c r="D149" i="35"/>
  <c r="D157" i="35"/>
  <c r="D165" i="35"/>
  <c r="D173" i="35"/>
  <c r="D181" i="35"/>
  <c r="D189" i="35"/>
  <c r="D197" i="35"/>
  <c r="D205" i="35"/>
  <c r="D213" i="35"/>
  <c r="D153" i="35"/>
  <c r="D134" i="35"/>
  <c r="D142" i="35"/>
  <c r="D150" i="35"/>
  <c r="D158" i="35"/>
  <c r="D166" i="35"/>
  <c r="D174" i="35"/>
  <c r="D182" i="35"/>
  <c r="D190" i="35"/>
  <c r="D198" i="35"/>
  <c r="D206" i="35"/>
  <c r="D45" i="35"/>
  <c r="D66" i="35"/>
  <c r="D27" i="35"/>
  <c r="D50" i="35"/>
  <c r="D58" i="35"/>
  <c r="D41" i="35"/>
  <c r="D17" i="35"/>
  <c r="D74" i="35"/>
  <c r="D25" i="35"/>
  <c r="D82" i="35"/>
  <c r="D34" i="35"/>
  <c r="D90" i="35"/>
  <c r="D98" i="35"/>
  <c r="D16" i="35"/>
  <c r="D24" i="35"/>
  <c r="D33" i="35"/>
  <c r="D40" i="35"/>
  <c r="D49" i="35"/>
  <c r="D57" i="35"/>
  <c r="D65" i="35"/>
  <c r="D73" i="35"/>
  <c r="D81" i="35"/>
  <c r="D89" i="35"/>
  <c r="D97" i="35"/>
  <c r="D10" i="35"/>
  <c r="D18" i="35"/>
  <c r="D26" i="35"/>
  <c r="D35" i="35"/>
  <c r="D42" i="35"/>
  <c r="D51" i="35"/>
  <c r="D59" i="35"/>
  <c r="D67" i="35"/>
  <c r="D75" i="35"/>
  <c r="D83" i="35"/>
  <c r="D91" i="35"/>
  <c r="D99" i="35"/>
  <c r="D11" i="35"/>
  <c r="D19" i="35"/>
  <c r="D28" i="35"/>
  <c r="D36" i="35"/>
  <c r="D43" i="35"/>
  <c r="D52" i="35"/>
  <c r="D60" i="35"/>
  <c r="D68" i="35"/>
  <c r="D76" i="35"/>
  <c r="D84" i="35"/>
  <c r="D92" i="35"/>
  <c r="D100" i="35"/>
  <c r="D12" i="35"/>
  <c r="D20" i="35"/>
  <c r="D29" i="35"/>
  <c r="D37" i="35"/>
  <c r="D44" i="35"/>
  <c r="D53" i="35"/>
  <c r="D61" i="35"/>
  <c r="D69" i="35"/>
  <c r="D77" i="35"/>
  <c r="D85" i="35"/>
  <c r="D93" i="35"/>
  <c r="D101" i="35"/>
  <c r="D13" i="35"/>
  <c r="D21" i="35"/>
  <c r="D30" i="35"/>
  <c r="D38" i="35"/>
  <c r="D46" i="35"/>
  <c r="D54" i="35"/>
  <c r="D62" i="35"/>
  <c r="D70" i="35"/>
  <c r="D78" i="35"/>
  <c r="D86" i="35"/>
  <c r="D94" i="35"/>
  <c r="D102" i="35"/>
  <c r="D14" i="35"/>
  <c r="D22" i="35"/>
  <c r="D31" i="35"/>
  <c r="D39" i="35"/>
  <c r="D47" i="35"/>
  <c r="D55" i="35"/>
  <c r="D63" i="35"/>
  <c r="D71" i="35"/>
  <c r="D79" i="35"/>
  <c r="D87" i="35"/>
  <c r="D95" i="35"/>
  <c r="D103" i="35"/>
  <c r="D15" i="35"/>
  <c r="D23" i="35"/>
  <c r="D32" i="35"/>
  <c r="D48" i="35"/>
  <c r="D56" i="35"/>
  <c r="D64" i="35"/>
  <c r="D72" i="35"/>
  <c r="D80" i="35"/>
  <c r="D88" i="35"/>
  <c r="D96" i="35"/>
  <c r="D104" i="35"/>
  <c r="M9" i="30"/>
  <c r="M11" i="30"/>
  <c r="I9" i="30"/>
  <c r="I10" i="30"/>
  <c r="Q11" i="30"/>
  <c r="I11" i="30"/>
  <c r="Q10" i="30"/>
  <c r="K9" i="30"/>
  <c r="K10" i="30"/>
  <c r="K11" i="30"/>
  <c r="E120" i="30"/>
  <c r="N11" i="30"/>
  <c r="E52" i="30"/>
  <c r="L9" i="30"/>
  <c r="L10" i="30"/>
  <c r="L11" i="30"/>
  <c r="X293" i="30"/>
  <c r="X456" i="30"/>
  <c r="X66" i="30"/>
  <c r="X104" i="30"/>
  <c r="X185" i="30"/>
  <c r="X303" i="30"/>
  <c r="X359" i="30"/>
  <c r="X43" i="30"/>
  <c r="X82" i="30"/>
  <c r="X376" i="30"/>
  <c r="X24" i="30"/>
  <c r="X45" i="30"/>
  <c r="X47" i="30"/>
  <c r="X56" i="30"/>
  <c r="X90" i="30"/>
  <c r="X165" i="30"/>
  <c r="X192" i="30"/>
  <c r="X347" i="30"/>
  <c r="X463" i="30"/>
  <c r="X94" i="30"/>
  <c r="X257" i="30"/>
  <c r="X111" i="30"/>
  <c r="X339" i="30"/>
  <c r="X13" i="30"/>
  <c r="X23" i="30"/>
  <c r="X62" i="30"/>
  <c r="X67" i="30"/>
  <c r="X100" i="30"/>
  <c r="X109" i="30"/>
  <c r="X130" i="30"/>
  <c r="X140" i="30"/>
  <c r="X226" i="30"/>
  <c r="X391" i="30"/>
  <c r="X416" i="30"/>
  <c r="X58" i="30"/>
  <c r="X211" i="30"/>
  <c r="X92" i="30"/>
  <c r="X283" i="30"/>
  <c r="X32" i="30"/>
  <c r="X42" i="30"/>
  <c r="X119" i="30"/>
  <c r="X120" i="30"/>
  <c r="X234" i="30"/>
  <c r="X298" i="30"/>
  <c r="X308" i="30"/>
  <c r="X433" i="30"/>
  <c r="X470" i="30"/>
  <c r="X239" i="30"/>
  <c r="X26" i="30"/>
  <c r="X21" i="30"/>
  <c r="X40" i="30"/>
  <c r="X53" i="30"/>
  <c r="X86" i="30"/>
  <c r="X116" i="30"/>
  <c r="X334" i="30"/>
  <c r="X371" i="30"/>
  <c r="X423" i="30"/>
  <c r="X274" i="30"/>
  <c r="X19" i="30"/>
  <c r="X36" i="30"/>
  <c r="X63" i="30"/>
  <c r="X73" i="30"/>
  <c r="X105" i="30"/>
  <c r="X160" i="30"/>
  <c r="X170" i="30"/>
  <c r="X352" i="30"/>
  <c r="X440" i="30"/>
  <c r="X49" i="30"/>
  <c r="X79" i="30"/>
  <c r="X313" i="30"/>
  <c r="X77" i="30"/>
  <c r="X321" i="30"/>
  <c r="X96" i="30"/>
  <c r="X114" i="30"/>
  <c r="X125" i="30"/>
  <c r="X135" i="30"/>
  <c r="X221" i="30"/>
  <c r="X249" i="30"/>
  <c r="X267" i="30"/>
  <c r="X448" i="30"/>
  <c r="X144" i="30"/>
  <c r="X168" i="30"/>
  <c r="X175" i="30"/>
  <c r="X180" i="30"/>
  <c r="X190" i="30"/>
  <c r="X204" i="30"/>
  <c r="X209" i="30"/>
  <c r="X229" i="30"/>
  <c r="X244" i="30"/>
  <c r="X252" i="30"/>
  <c r="X260" i="30"/>
  <c r="X272" i="30"/>
  <c r="X279" i="30"/>
  <c r="X286" i="30"/>
  <c r="X301" i="30"/>
  <c r="X306" i="30"/>
  <c r="X316" i="30"/>
  <c r="X324" i="30"/>
  <c r="X329" i="30"/>
  <c r="X337" i="30"/>
  <c r="X342" i="30"/>
  <c r="X350" i="30"/>
  <c r="X357" i="30"/>
  <c r="X366" i="30"/>
  <c r="X374" i="30"/>
  <c r="X379" i="30"/>
  <c r="X384" i="30"/>
  <c r="X389" i="30"/>
  <c r="X394" i="30"/>
  <c r="X401" i="30"/>
  <c r="X406" i="30"/>
  <c r="X411" i="30"/>
  <c r="X421" i="30"/>
  <c r="X428" i="30"/>
  <c r="X436" i="30"/>
  <c r="X441" i="30"/>
  <c r="X449" i="30"/>
  <c r="X457" i="30"/>
  <c r="X464" i="30"/>
  <c r="X471" i="30"/>
  <c r="X153" i="30"/>
  <c r="X199" i="30"/>
  <c r="X35" i="30"/>
  <c r="X61" i="30"/>
  <c r="X71" i="30"/>
  <c r="X76" i="30"/>
  <c r="X78" i="30"/>
  <c r="X80" i="30"/>
  <c r="X84" i="30"/>
  <c r="X98" i="30"/>
  <c r="X102" i="30"/>
  <c r="X107" i="30"/>
  <c r="X123" i="30"/>
  <c r="X128" i="30"/>
  <c r="X133" i="30"/>
  <c r="X138" i="30"/>
  <c r="X151" i="30"/>
  <c r="X163" i="30"/>
  <c r="X173" i="30"/>
  <c r="X178" i="30"/>
  <c r="X183" i="30"/>
  <c r="X188" i="30"/>
  <c r="X214" i="30"/>
  <c r="X216" i="30"/>
  <c r="X218" i="30"/>
  <c r="X224" i="30"/>
  <c r="X232" i="30"/>
  <c r="X237" i="30"/>
  <c r="X242" i="30"/>
  <c r="X247" i="30"/>
  <c r="X255" i="30"/>
  <c r="X263" i="30"/>
  <c r="X265" i="30"/>
  <c r="X270" i="30"/>
  <c r="X277" i="30"/>
  <c r="X281" i="30"/>
  <c r="X289" i="30"/>
  <c r="X291" i="30"/>
  <c r="X296" i="30"/>
  <c r="X311" i="30"/>
  <c r="X319" i="30"/>
  <c r="X327" i="30"/>
  <c r="X332" i="30"/>
  <c r="X345" i="30"/>
  <c r="X355" i="30"/>
  <c r="X364" i="30"/>
  <c r="X369" i="30"/>
  <c r="X387" i="30"/>
  <c r="X399" i="30"/>
  <c r="X404" i="30"/>
  <c r="X409" i="30"/>
  <c r="X414" i="30"/>
  <c r="X419" i="30"/>
  <c r="X426" i="30"/>
  <c r="X431" i="30"/>
  <c r="X442" i="30"/>
  <c r="X450" i="30"/>
  <c r="X458" i="30"/>
  <c r="X465" i="30"/>
  <c r="X158" i="30"/>
  <c r="X31" i="30"/>
  <c r="X15" i="30"/>
  <c r="X18" i="30"/>
  <c r="X29" i="30"/>
  <c r="X52" i="30"/>
  <c r="X59" i="30"/>
  <c r="X64" i="30"/>
  <c r="X88" i="30"/>
  <c r="X113" i="30"/>
  <c r="X117" i="30"/>
  <c r="X149" i="30"/>
  <c r="X156" i="30"/>
  <c r="X161" i="30"/>
  <c r="X166" i="30"/>
  <c r="X171" i="30"/>
  <c r="X186" i="30"/>
  <c r="X193" i="30"/>
  <c r="X195" i="30"/>
  <c r="X197" i="30"/>
  <c r="X202" i="30"/>
  <c r="X207" i="30"/>
  <c r="X222" i="30"/>
  <c r="X227" i="30"/>
  <c r="X240" i="30"/>
  <c r="X250" i="30"/>
  <c r="X258" i="30"/>
  <c r="X268" i="30"/>
  <c r="X284" i="30"/>
  <c r="X294" i="30"/>
  <c r="X299" i="30"/>
  <c r="X304" i="30"/>
  <c r="X309" i="30"/>
  <c r="X314" i="30"/>
  <c r="X322" i="30"/>
  <c r="X335" i="30"/>
  <c r="X340" i="30"/>
  <c r="X348" i="30"/>
  <c r="X353" i="30"/>
  <c r="X360" i="30"/>
  <c r="X362" i="30"/>
  <c r="X372" i="30"/>
  <c r="X377" i="30"/>
  <c r="X382" i="30"/>
  <c r="X392" i="30"/>
  <c r="X397" i="30"/>
  <c r="X424" i="30"/>
  <c r="X434" i="30"/>
  <c r="X443" i="30"/>
  <c r="X451" i="30"/>
  <c r="X459" i="30"/>
  <c r="X466" i="30"/>
  <c r="X472" i="30"/>
  <c r="X14" i="30"/>
  <c r="X25" i="30"/>
  <c r="X28" i="30"/>
  <c r="X37" i="30"/>
  <c r="X46" i="30"/>
  <c r="X50" i="30"/>
  <c r="X54" i="30"/>
  <c r="X69" i="30"/>
  <c r="X68" i="30"/>
  <c r="X74" i="30"/>
  <c r="X87" i="30"/>
  <c r="X93" i="30"/>
  <c r="X106" i="30"/>
  <c r="X112" i="30"/>
  <c r="X115" i="30"/>
  <c r="X121" i="30"/>
  <c r="X126" i="30"/>
  <c r="X131" i="30"/>
  <c r="X136" i="30"/>
  <c r="X141" i="30"/>
  <c r="X143" i="30"/>
  <c r="X145" i="30"/>
  <c r="X147" i="30"/>
  <c r="X154" i="30"/>
  <c r="X159" i="30"/>
  <c r="X176" i="30"/>
  <c r="X181" i="30"/>
  <c r="X191" i="30"/>
  <c r="X200" i="30"/>
  <c r="X205" i="30"/>
  <c r="X210" i="30"/>
  <c r="X212" i="30"/>
  <c r="X220" i="30"/>
  <c r="X230" i="30"/>
  <c r="X235" i="30"/>
  <c r="X245" i="30"/>
  <c r="X253" i="30"/>
  <c r="X261" i="30"/>
  <c r="X273" i="30"/>
  <c r="X275" i="30"/>
  <c r="X287" i="30"/>
  <c r="X302" i="30"/>
  <c r="X307" i="30"/>
  <c r="X317" i="30"/>
  <c r="X325" i="30"/>
  <c r="X330" i="30"/>
  <c r="X343" i="30"/>
  <c r="X351" i="30"/>
  <c r="X367" i="30"/>
  <c r="X375" i="30"/>
  <c r="X380" i="30"/>
  <c r="X385" i="30"/>
  <c r="X395" i="30"/>
  <c r="X402" i="30"/>
  <c r="X407" i="30"/>
  <c r="X412" i="30"/>
  <c r="X417" i="30"/>
  <c r="X422" i="30"/>
  <c r="X429" i="30"/>
  <c r="X437" i="30"/>
  <c r="X444" i="30"/>
  <c r="X452" i="30"/>
  <c r="X467" i="30"/>
  <c r="X473" i="30"/>
  <c r="X17" i="30"/>
  <c r="X20" i="30"/>
  <c r="X22" i="30"/>
  <c r="X33" i="30"/>
  <c r="X39" i="30"/>
  <c r="X41" i="30"/>
  <c r="X44" i="30"/>
  <c r="X48" i="30"/>
  <c r="X57" i="30"/>
  <c r="X72" i="30"/>
  <c r="X81" i="30"/>
  <c r="X85" i="30"/>
  <c r="X91" i="30"/>
  <c r="X97" i="30"/>
  <c r="X99" i="30"/>
  <c r="X110" i="30"/>
  <c r="X124" i="30"/>
  <c r="X129" i="30"/>
  <c r="X134" i="30"/>
  <c r="X139" i="30"/>
  <c r="X164" i="30"/>
  <c r="X169" i="30"/>
  <c r="X174" i="30"/>
  <c r="X179" i="30"/>
  <c r="X184" i="30"/>
  <c r="X189" i="30"/>
  <c r="X217" i="30"/>
  <c r="X225" i="30"/>
  <c r="X233" i="30"/>
  <c r="X238" i="30"/>
  <c r="X243" i="30"/>
  <c r="X248" i="30"/>
  <c r="X256" i="30"/>
  <c r="X266" i="30"/>
  <c r="X280" i="30"/>
  <c r="X282" i="30"/>
  <c r="X290" i="30"/>
  <c r="X292" i="30"/>
  <c r="X297" i="30"/>
  <c r="X312" i="30"/>
  <c r="X320" i="30"/>
  <c r="X333" i="30"/>
  <c r="X338" i="30"/>
  <c r="X346" i="30"/>
  <c r="X358" i="30"/>
  <c r="X365" i="30"/>
  <c r="X370" i="30"/>
  <c r="X388" i="30"/>
  <c r="X390" i="30"/>
  <c r="X400" i="30"/>
  <c r="X415" i="30"/>
  <c r="X420" i="30"/>
  <c r="X432" i="30"/>
  <c r="X445" i="30"/>
  <c r="X453" i="30"/>
  <c r="X460" i="30"/>
  <c r="X468" i="30"/>
  <c r="X474" i="30"/>
  <c r="X89" i="30"/>
  <c r="X103" i="30"/>
  <c r="X118" i="30"/>
  <c r="X152" i="30"/>
  <c r="X157" i="30"/>
  <c r="X167" i="30"/>
  <c r="X172" i="30"/>
  <c r="X187" i="30"/>
  <c r="X198" i="30"/>
  <c r="X203" i="30"/>
  <c r="X208" i="30"/>
  <c r="X228" i="30"/>
  <c r="X241" i="30"/>
  <c r="X251" i="30"/>
  <c r="X259" i="30"/>
  <c r="X269" i="30"/>
  <c r="X271" i="30"/>
  <c r="X278" i="30"/>
  <c r="X285" i="30"/>
  <c r="X295" i="30"/>
  <c r="X300" i="30"/>
  <c r="X305" i="30"/>
  <c r="X315" i="30"/>
  <c r="X323" i="30"/>
  <c r="X328" i="30"/>
  <c r="X336" i="30"/>
  <c r="X341" i="30"/>
  <c r="X349" i="30"/>
  <c r="X354" i="30"/>
  <c r="X356" i="30"/>
  <c r="X373" i="30"/>
  <c r="X378" i="30"/>
  <c r="X383" i="30"/>
  <c r="X393" i="30"/>
  <c r="X398" i="30"/>
  <c r="X405" i="30"/>
  <c r="X410" i="30"/>
  <c r="X425" i="30"/>
  <c r="X427" i="30"/>
  <c r="X435" i="30"/>
  <c r="X438" i="30"/>
  <c r="X446" i="30"/>
  <c r="X454" i="30"/>
  <c r="X461" i="30"/>
  <c r="X469" i="30"/>
  <c r="X83" i="30"/>
  <c r="X95" i="30"/>
  <c r="X108" i="30"/>
  <c r="X16" i="30"/>
  <c r="X27" i="30"/>
  <c r="X30" i="30"/>
  <c r="X34" i="30"/>
  <c r="X38" i="30"/>
  <c r="X51" i="30"/>
  <c r="X55" i="30"/>
  <c r="X60" i="30"/>
  <c r="X65" i="30"/>
  <c r="X70" i="30"/>
  <c r="X75" i="30"/>
  <c r="X101" i="30"/>
  <c r="X122" i="30"/>
  <c r="X127" i="30"/>
  <c r="X132" i="30"/>
  <c r="X137" i="30"/>
  <c r="X142" i="30"/>
  <c r="X146" i="30"/>
  <c r="X148" i="30"/>
  <c r="X150" i="30"/>
  <c r="X155" i="30"/>
  <c r="X162" i="30"/>
  <c r="X177" i="30"/>
  <c r="X182" i="30"/>
  <c r="X194" i="30"/>
  <c r="X196" i="30"/>
  <c r="X201" i="30"/>
  <c r="X206" i="30"/>
  <c r="X213" i="30"/>
  <c r="X215" i="30"/>
  <c r="X219" i="30"/>
  <c r="X223" i="30"/>
  <c r="X231" i="30"/>
  <c r="X236" i="30"/>
  <c r="X246" i="30"/>
  <c r="X254" i="30"/>
  <c r="X262" i="30"/>
  <c r="X264" i="30"/>
  <c r="X276" i="30"/>
  <c r="X288" i="30"/>
  <c r="X310" i="30"/>
  <c r="X318" i="30"/>
  <c r="X326" i="30"/>
  <c r="X331" i="30"/>
  <c r="X344" i="30"/>
  <c r="X361" i="30"/>
  <c r="X363" i="30"/>
  <c r="X368" i="30"/>
  <c r="X381" i="30"/>
  <c r="X386" i="30"/>
  <c r="X396" i="30"/>
  <c r="X403" i="30"/>
  <c r="X408" i="30"/>
  <c r="X413" i="30"/>
  <c r="X418" i="30"/>
  <c r="X430" i="30"/>
  <c r="X439" i="30"/>
  <c r="X447" i="30"/>
  <c r="X455" i="30"/>
  <c r="F43" i="30" l="1"/>
  <c r="F40" i="30"/>
  <c r="F378" i="30"/>
  <c r="E10" i="30"/>
  <c r="F305" i="30"/>
  <c r="F22" i="30"/>
  <c r="F204" i="30"/>
  <c r="F291" i="30"/>
  <c r="F296" i="30"/>
  <c r="F98" i="30"/>
  <c r="F166" i="30"/>
  <c r="F298" i="30"/>
  <c r="F277" i="30"/>
  <c r="F13" i="30"/>
  <c r="F288" i="30"/>
  <c r="F191" i="30"/>
  <c r="F397" i="30"/>
  <c r="F386" i="30"/>
  <c r="F116" i="30"/>
  <c r="F392" i="30"/>
  <c r="F106" i="30"/>
  <c r="F367" i="30"/>
  <c r="F111" i="30"/>
  <c r="F366" i="30"/>
  <c r="F361" i="30"/>
  <c r="F274" i="30"/>
  <c r="F159" i="30"/>
  <c r="F87" i="30"/>
  <c r="F354" i="30"/>
  <c r="F346" i="30"/>
  <c r="F232" i="30"/>
  <c r="F258" i="30"/>
  <c r="F249" i="30"/>
  <c r="F208" i="30"/>
  <c r="F347" i="30"/>
  <c r="F264" i="30"/>
  <c r="F149" i="30"/>
  <c r="F71" i="30"/>
  <c r="F244" i="30"/>
  <c r="F304" i="30"/>
  <c r="F199" i="30"/>
  <c r="F175" i="30"/>
  <c r="F192" i="30"/>
  <c r="F432" i="30"/>
  <c r="F339" i="30"/>
  <c r="F256" i="30"/>
  <c r="F145" i="30"/>
  <c r="F57" i="30"/>
  <c r="F194" i="30"/>
  <c r="F266" i="30"/>
  <c r="F114" i="30"/>
  <c r="F146" i="30"/>
  <c r="F36" i="30"/>
  <c r="F418" i="30"/>
  <c r="F320" i="30"/>
  <c r="F241" i="30"/>
  <c r="F132" i="30"/>
  <c r="F38" i="30"/>
  <c r="F119" i="30"/>
  <c r="F207" i="30"/>
  <c r="F97" i="30"/>
  <c r="F407" i="30"/>
  <c r="F316" i="30"/>
  <c r="F237" i="30"/>
  <c r="F125" i="30"/>
  <c r="F32" i="30"/>
  <c r="F55" i="30"/>
  <c r="F142" i="30"/>
  <c r="F34" i="30"/>
  <c r="F14" i="30"/>
  <c r="F80" i="30"/>
  <c r="F395" i="30"/>
  <c r="F394" i="30"/>
  <c r="F26" i="30"/>
  <c r="F349" i="30"/>
  <c r="F344" i="30"/>
  <c r="F379" i="30"/>
  <c r="F400" i="30"/>
  <c r="F351" i="30"/>
  <c r="F312" i="30"/>
  <c r="F267" i="30"/>
  <c r="F222" i="30"/>
  <c r="F152" i="30"/>
  <c r="F121" i="30"/>
  <c r="F78" i="30"/>
  <c r="F24" i="30"/>
  <c r="F357" i="30"/>
  <c r="F233" i="30"/>
  <c r="F180" i="30"/>
  <c r="F105" i="30"/>
  <c r="F47" i="30"/>
  <c r="F435" i="30"/>
  <c r="F389" i="30"/>
  <c r="F342" i="30"/>
  <c r="F293" i="30"/>
  <c r="F263" i="30"/>
  <c r="F203" i="30"/>
  <c r="F135" i="30"/>
  <c r="F74" i="30"/>
  <c r="F427" i="30"/>
  <c r="F353" i="30"/>
  <c r="F228" i="30"/>
  <c r="F196" i="30"/>
  <c r="F138" i="30"/>
  <c r="F88" i="30"/>
  <c r="F25" i="30"/>
  <c r="F391" i="30"/>
  <c r="F345" i="30"/>
  <c r="F292" i="30"/>
  <c r="F254" i="30"/>
  <c r="F168" i="30"/>
  <c r="F46" i="30"/>
  <c r="F437" i="30"/>
  <c r="F387" i="30"/>
  <c r="F340" i="30"/>
  <c r="F284" i="30"/>
  <c r="F245" i="30"/>
  <c r="F185" i="30"/>
  <c r="F133" i="30"/>
  <c r="F84" i="30"/>
  <c r="F16" i="30"/>
  <c r="F364" i="30"/>
  <c r="F271" i="30"/>
  <c r="F201" i="30"/>
  <c r="F93" i="30"/>
  <c r="F30" i="30"/>
  <c r="F229" i="30"/>
  <c r="F176" i="30"/>
  <c r="F103" i="30"/>
  <c r="F44" i="30"/>
  <c r="F431" i="30"/>
  <c r="F385" i="30"/>
  <c r="F327" i="30"/>
  <c r="F290" i="30"/>
  <c r="F259" i="30"/>
  <c r="F187" i="30"/>
  <c r="F124" i="30"/>
  <c r="F70" i="30"/>
  <c r="F417" i="30"/>
  <c r="F338" i="30"/>
  <c r="F224" i="30"/>
  <c r="F193" i="30"/>
  <c r="F131" i="30"/>
  <c r="F86" i="30"/>
  <c r="F21" i="30"/>
  <c r="F388" i="30"/>
  <c r="F341" i="30"/>
  <c r="F289" i="30"/>
  <c r="F250" i="30"/>
  <c r="F164" i="30"/>
  <c r="F42" i="30"/>
  <c r="F433" i="30"/>
  <c r="F383" i="30"/>
  <c r="F325" i="30"/>
  <c r="F281" i="30"/>
  <c r="F242" i="30"/>
  <c r="F181" i="30"/>
  <c r="F126" i="30"/>
  <c r="F72" i="30"/>
  <c r="F358" i="30"/>
  <c r="F234" i="30"/>
  <c r="F177" i="30"/>
  <c r="F90" i="30"/>
  <c r="F28" i="30"/>
  <c r="F393" i="30"/>
  <c r="F343" i="30"/>
  <c r="F294" i="30"/>
  <c r="F260" i="30"/>
  <c r="F197" i="30"/>
  <c r="F148" i="30"/>
  <c r="F113" i="30"/>
  <c r="F66" i="30"/>
  <c r="F335" i="30"/>
  <c r="F225" i="30"/>
  <c r="F173" i="30"/>
  <c r="F95" i="30"/>
  <c r="F35" i="30"/>
  <c r="F424" i="30"/>
  <c r="F374" i="30"/>
  <c r="F323" i="30"/>
  <c r="F286" i="30"/>
  <c r="F255" i="30"/>
  <c r="F183" i="30"/>
  <c r="F115" i="30"/>
  <c r="F49" i="30"/>
  <c r="F413" i="30"/>
  <c r="F334" i="30"/>
  <c r="F221" i="30"/>
  <c r="F190" i="30"/>
  <c r="F127" i="30"/>
  <c r="F85" i="30"/>
  <c r="F18" i="30"/>
  <c r="F384" i="30"/>
  <c r="F326" i="30"/>
  <c r="F285" i="30"/>
  <c r="F246" i="30"/>
  <c r="F157" i="30"/>
  <c r="F99" i="30"/>
  <c r="F39" i="30"/>
  <c r="F429" i="30"/>
  <c r="F376" i="30"/>
  <c r="F321" i="30"/>
  <c r="F278" i="30"/>
  <c r="F238" i="30"/>
  <c r="F174" i="30"/>
  <c r="F122" i="30"/>
  <c r="F67" i="30"/>
  <c r="F422" i="30"/>
  <c r="F355" i="30"/>
  <c r="F230" i="30"/>
  <c r="F170" i="30"/>
  <c r="F81" i="30"/>
  <c r="F412" i="30"/>
  <c r="F227" i="30"/>
  <c r="F209" i="30"/>
  <c r="F189" i="30"/>
  <c r="F96" i="30"/>
  <c r="F76" i="30"/>
  <c r="F58" i="30"/>
  <c r="F329" i="30"/>
  <c r="F299" i="30"/>
  <c r="F202" i="30"/>
  <c r="F130" i="30"/>
  <c r="F109" i="30"/>
  <c r="F94" i="30"/>
  <c r="F79" i="30"/>
  <c r="F48" i="30"/>
  <c r="F303" i="30"/>
  <c r="F275" i="30"/>
  <c r="F398" i="30"/>
  <c r="F231" i="30"/>
  <c r="F141" i="30"/>
  <c r="F117" i="30"/>
  <c r="F82" i="30"/>
  <c r="F23" i="30"/>
  <c r="F405" i="30"/>
  <c r="F362" i="30"/>
  <c r="F337" i="30"/>
  <c r="F310" i="30"/>
  <c r="F423" i="30"/>
  <c r="F365" i="30"/>
  <c r="F235" i="30"/>
  <c r="F198" i="30"/>
  <c r="F178" i="30"/>
  <c r="F153" i="30"/>
  <c r="F137" i="30"/>
  <c r="F91" i="30"/>
  <c r="F65" i="30"/>
  <c r="F416" i="30"/>
  <c r="F380" i="30"/>
  <c r="F333" i="30"/>
  <c r="F171" i="30"/>
  <c r="F150" i="30"/>
  <c r="F101" i="30"/>
  <c r="F51" i="30"/>
  <c r="F331" i="30"/>
  <c r="F217" i="30"/>
  <c r="F162" i="30"/>
  <c r="F89" i="30"/>
  <c r="F19" i="30"/>
  <c r="F421" i="30"/>
  <c r="F370" i="30"/>
  <c r="F319" i="30"/>
  <c r="F282" i="30"/>
  <c r="F251" i="30"/>
  <c r="F169" i="30"/>
  <c r="F107" i="30"/>
  <c r="F402" i="30"/>
  <c r="F330" i="30"/>
  <c r="F219" i="30"/>
  <c r="F179" i="30"/>
  <c r="F118" i="30"/>
  <c r="F77" i="30"/>
  <c r="F434" i="30"/>
  <c r="F373" i="30"/>
  <c r="F322" i="30"/>
  <c r="F272" i="30"/>
  <c r="F239" i="30"/>
  <c r="F147" i="30"/>
  <c r="F73" i="30"/>
  <c r="F426" i="30"/>
  <c r="F372" i="30"/>
  <c r="F317" i="30"/>
  <c r="F268" i="30"/>
  <c r="F223" i="30"/>
  <c r="F167" i="30"/>
  <c r="F61" i="30"/>
  <c r="F415" i="30"/>
  <c r="F336" i="30"/>
  <c r="F226" i="30"/>
  <c r="F156" i="30"/>
  <c r="F75" i="30"/>
  <c r="F436" i="30"/>
  <c r="F428" i="30"/>
  <c r="F375" i="30"/>
  <c r="F328" i="30"/>
  <c r="F287" i="30"/>
  <c r="F252" i="30"/>
  <c r="F188" i="30"/>
  <c r="F143" i="30"/>
  <c r="F108" i="30"/>
  <c r="F53" i="30"/>
  <c r="F414" i="30"/>
  <c r="F301" i="30"/>
  <c r="F214" i="30"/>
  <c r="F155" i="30"/>
  <c r="F15" i="30"/>
  <c r="F410" i="30"/>
  <c r="F363" i="30"/>
  <c r="F315" i="30"/>
  <c r="F276" i="30"/>
  <c r="F247" i="30"/>
  <c r="F165" i="30"/>
  <c r="F100" i="30"/>
  <c r="F37" i="30"/>
  <c r="F399" i="30"/>
  <c r="F300" i="30"/>
  <c r="F216" i="30"/>
  <c r="F172" i="30"/>
  <c r="F64" i="30"/>
  <c r="F430" i="30"/>
  <c r="F369" i="30"/>
  <c r="F318" i="30"/>
  <c r="F269" i="30"/>
  <c r="F206" i="30"/>
  <c r="F144" i="30"/>
  <c r="F68" i="30"/>
  <c r="F31" i="30"/>
  <c r="F419" i="30"/>
  <c r="F368" i="30"/>
  <c r="F313" i="30"/>
  <c r="F261" i="30"/>
  <c r="F212" i="30"/>
  <c r="F163" i="30"/>
  <c r="F112" i="30"/>
  <c r="F45" i="30"/>
  <c r="F411" i="30"/>
  <c r="F332" i="30"/>
  <c r="F220" i="30"/>
  <c r="F140" i="30"/>
  <c r="F69" i="30"/>
  <c r="F52" i="30"/>
  <c r="F425" i="30"/>
  <c r="F371" i="30"/>
  <c r="F324" i="30"/>
  <c r="F283" i="30"/>
  <c r="F248" i="30"/>
  <c r="F184" i="30"/>
  <c r="F136" i="30"/>
  <c r="F50" i="30"/>
  <c r="F403" i="30"/>
  <c r="F297" i="30"/>
  <c r="F211" i="30"/>
  <c r="F139" i="30"/>
  <c r="F63" i="30"/>
  <c r="F12" i="30"/>
  <c r="F406" i="30"/>
  <c r="F360" i="30"/>
  <c r="F311" i="30"/>
  <c r="F273" i="30"/>
  <c r="F240" i="30"/>
  <c r="F158" i="30"/>
  <c r="F92" i="30"/>
  <c r="F33" i="30"/>
  <c r="F381" i="30"/>
  <c r="F279" i="30"/>
  <c r="F213" i="30"/>
  <c r="F161" i="30"/>
  <c r="F110" i="30"/>
  <c r="F59" i="30"/>
  <c r="F420" i="30"/>
  <c r="F359" i="30"/>
  <c r="F314" i="30"/>
  <c r="F265" i="30"/>
  <c r="F186" i="30"/>
  <c r="F134" i="30"/>
  <c r="F62" i="30"/>
  <c r="F27" i="30"/>
  <c r="F408" i="30"/>
  <c r="F352" i="30"/>
  <c r="F306" i="30"/>
  <c r="F257" i="30"/>
  <c r="F205" i="30"/>
  <c r="F160" i="30"/>
  <c r="F104" i="30"/>
  <c r="F404" i="30"/>
  <c r="F309" i="30"/>
  <c r="F218" i="30"/>
  <c r="F129" i="30"/>
  <c r="E9" i="30"/>
  <c r="F382" i="30"/>
  <c r="F280" i="30"/>
  <c r="F200" i="30"/>
  <c r="F128" i="30"/>
  <c r="F60" i="30"/>
  <c r="F396" i="30"/>
  <c r="F350" i="30"/>
  <c r="F308" i="30"/>
  <c r="F270" i="30"/>
  <c r="F236" i="30"/>
  <c r="F151" i="30"/>
  <c r="F83" i="30"/>
  <c r="F29" i="30"/>
  <c r="F377" i="30"/>
  <c r="F243" i="30"/>
  <c r="F210" i="30"/>
  <c r="F154" i="30"/>
  <c r="F102" i="30"/>
  <c r="F56" i="30"/>
  <c r="F409" i="30"/>
  <c r="F356" i="30"/>
  <c r="F307" i="30"/>
  <c r="F262" i="30"/>
  <c r="F182" i="30"/>
  <c r="F123" i="30"/>
  <c r="F54" i="30"/>
  <c r="F17" i="30"/>
  <c r="F401" i="30"/>
  <c r="F348" i="30"/>
  <c r="F295" i="30"/>
  <c r="F253" i="30"/>
  <c r="F195" i="30"/>
  <c r="F20" i="30"/>
  <c r="F390" i="30"/>
  <c r="F302" i="30"/>
  <c r="F215" i="30"/>
  <c r="F120" i="30"/>
  <c r="F41" i="30"/>
</calcChain>
</file>

<file path=xl/comments1.xml><?xml version="1.0" encoding="utf-8"?>
<comments xmlns="http://schemas.openxmlformats.org/spreadsheetml/2006/main">
  <authors>
    <author>RaYDeN</author>
    <author>Stephan</author>
    <author>squeezechart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paq9a a 3d.paq9a -8 3d.tar</t>
        </r>
      </text>
    </comment>
    <comment ref="C49" authorId="1" shapeId="0">
      <text>
        <r>
          <rPr>
            <sz val="9"/>
            <color indexed="81"/>
            <rFont val="Tahoma"/>
            <family val="2"/>
          </rPr>
          <t xml:space="preserve">runs only on win98 compatiblity mode in XP/Vista; use -b16000 instead of -b16383 blocksize!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o9, 1024 sec</t>
        </r>
      </text>
    </comment>
    <comment ref="Q53" authorId="2" shapeId="0">
      <text>
        <r>
          <rPr>
            <b/>
            <sz val="9"/>
            <color indexed="81"/>
            <rFont val="Tahoma"/>
            <family val="2"/>
          </rPr>
          <t>o13, 303 sec</t>
        </r>
      </text>
    </comment>
    <comment ref="C60" authorId="2" shapeId="0">
      <text>
        <r>
          <rPr>
            <b/>
            <sz val="9"/>
            <color indexed="81"/>
            <rFont val="Tahoma"/>
            <family val="2"/>
          </rPr>
          <t>VMLite XPmodePC</t>
        </r>
      </text>
    </comment>
    <comment ref="C100" authorId="2" shapeId="0">
      <text>
        <r>
          <rPr>
            <b/>
            <sz val="9"/>
            <color indexed="81"/>
            <rFont val="Tahoma"/>
            <family val="2"/>
          </rPr>
          <t>VMLite XPmodePC</t>
        </r>
      </text>
    </comment>
    <comment ref="J120" authorId="2" shapeId="0">
      <text>
        <r>
          <rPr>
            <b/>
            <sz val="9"/>
            <color indexed="81"/>
            <rFont val="Tahoma"/>
            <family val="2"/>
          </rPr>
          <t>19959</t>
        </r>
      </text>
    </comment>
    <comment ref="L120" authorId="2" shapeId="0">
      <text>
        <r>
          <rPr>
            <b/>
            <sz val="9"/>
            <color indexed="81"/>
            <rFont val="Tahoma"/>
            <family val="2"/>
          </rPr>
          <t>66847</t>
        </r>
      </text>
    </comment>
    <comment ref="N120" authorId="2" shapeId="0">
      <text>
        <r>
          <rPr>
            <b/>
            <sz val="9"/>
            <color indexed="81"/>
            <rFont val="Tahoma"/>
            <family val="2"/>
          </rPr>
          <t>27670</t>
        </r>
      </text>
    </comment>
    <comment ref="C147" authorId="2" shapeId="0">
      <text>
        <r>
          <rPr>
            <b/>
            <sz val="9"/>
            <color indexed="81"/>
            <rFont val="Tahoma"/>
            <family val="2"/>
          </rPr>
          <t>unicode = yes
ext. Time stamps = no</t>
        </r>
      </text>
    </comment>
  </commentList>
</comments>
</file>

<file path=xl/comments2.xml><?xml version="1.0" encoding="utf-8"?>
<comments xmlns="http://schemas.openxmlformats.org/spreadsheetml/2006/main">
  <authors>
    <author>squeeze</author>
    <author>RaYDeN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úsing 16 bit here; online is 24 bit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" authorId="0" shapeId="0">
      <text>
        <r>
          <rPr>
            <sz val="9"/>
            <color indexed="81"/>
            <rFont val="Tahoma"/>
            <family val="2"/>
          </rPr>
          <t xml:space="preserve">
contains both highest quality lossy BR and lossless track
</t>
        </r>
      </text>
    </comment>
    <comment ref="B64" authorId="1" shapeId="0">
      <text>
        <r>
          <rPr>
            <b/>
            <sz val="9"/>
            <color indexed="81"/>
            <rFont val="Tahoma"/>
            <family val="2"/>
          </rPr>
          <t>java -jar onda.jar</t>
        </r>
      </text>
    </comment>
    <comment ref="E87" authorId="0" shapeId="0">
      <text>
        <r>
          <rPr>
            <b/>
            <sz val="9"/>
            <color indexed="81"/>
            <rFont val="Tahoma"/>
            <family val="2"/>
          </rPr>
          <t>úsing 16 bit here; online is 24 bit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1" authorId="0" shapeId="0">
      <text>
        <r>
          <rPr>
            <sz val="9"/>
            <color indexed="81"/>
            <rFont val="Tahoma"/>
            <family val="2"/>
          </rPr>
          <t xml:space="preserve">
contains both highest quality lossy BR and lossless track
</t>
        </r>
      </text>
    </comment>
    <comment ref="B144" authorId="1" shapeId="0">
      <text>
        <r>
          <rPr>
            <b/>
            <sz val="9"/>
            <color indexed="81"/>
            <rFont val="Tahoma"/>
            <family val="2"/>
          </rPr>
          <t>java -jar onda.jar</t>
        </r>
      </text>
    </comment>
  </commentList>
</comments>
</file>

<file path=xl/comments3.xml><?xml version="1.0" encoding="utf-8"?>
<comments xmlns="http://schemas.openxmlformats.org/spreadsheetml/2006/main">
  <authors>
    <author>squeezechart</author>
  </authors>
  <commentList>
    <comment ref="A333" authorId="0" shapeId="0">
      <text>
        <r>
          <rPr>
            <b/>
            <sz val="9"/>
            <color indexed="81"/>
            <rFont val="Tahoma"/>
            <family val="2"/>
          </rPr>
          <t>decompression 99,7 sec</t>
        </r>
      </text>
    </comment>
  </commentList>
</comments>
</file>

<file path=xl/comments4.xml><?xml version="1.0" encoding="utf-8"?>
<comments xmlns="http://schemas.openxmlformats.org/spreadsheetml/2006/main">
  <authors>
    <author>RaYDeN</author>
    <author>Stephan</author>
    <author/>
  </authors>
  <commentList>
    <comment ref="AJ6" authorId="0" shapeId="0">
      <text>
        <r>
          <rPr>
            <b/>
            <sz val="9"/>
            <color indexed="81"/>
            <rFont val="Tahoma"/>
            <family val="2"/>
          </rPr>
          <t>= MAGYAR</t>
        </r>
      </text>
    </comment>
    <comment ref="E14" authorId="1" shapeId="0">
      <text>
        <r>
          <rPr>
            <b/>
            <sz val="9"/>
            <color indexed="81"/>
            <rFont val="Tahoma"/>
            <family val="2"/>
          </rPr>
          <t>477 sec</t>
        </r>
      </text>
    </comment>
    <comment ref="F14" authorId="1" shapeId="0">
      <text>
        <r>
          <rPr>
            <b/>
            <sz val="9"/>
            <color indexed="81"/>
            <rFont val="Tahoma"/>
            <family val="2"/>
          </rPr>
          <t>533 sec</t>
        </r>
      </text>
    </comment>
    <comment ref="G14" authorId="1" shapeId="0">
      <text>
        <r>
          <rPr>
            <b/>
            <sz val="9"/>
            <color indexed="81"/>
            <rFont val="Tahoma"/>
            <family val="2"/>
          </rPr>
          <t>656 sec</t>
        </r>
      </text>
    </comment>
    <comment ref="H14" authorId="1" shapeId="0">
      <text>
        <r>
          <rPr>
            <b/>
            <sz val="9"/>
            <color indexed="81"/>
            <rFont val="Tahoma"/>
            <family val="2"/>
          </rPr>
          <t>578 sec</t>
        </r>
      </text>
    </comment>
    <comment ref="I14" authorId="1" shapeId="0">
      <text>
        <r>
          <rPr>
            <b/>
            <sz val="9"/>
            <color indexed="81"/>
            <rFont val="Tahoma"/>
            <family val="2"/>
          </rPr>
          <t>707 sec</t>
        </r>
      </text>
    </comment>
    <comment ref="J14" authorId="1" shapeId="0">
      <text>
        <r>
          <rPr>
            <b/>
            <sz val="9"/>
            <color indexed="81"/>
            <rFont val="Tahoma"/>
            <family val="2"/>
          </rPr>
          <t>545 sec</t>
        </r>
      </text>
    </comment>
    <comment ref="K14" authorId="1" shapeId="0">
      <text>
        <r>
          <rPr>
            <b/>
            <sz val="9"/>
            <color indexed="81"/>
            <rFont val="Tahoma"/>
            <family val="2"/>
          </rPr>
          <t>715 sec</t>
        </r>
      </text>
    </comment>
    <comment ref="L14" authorId="1" shapeId="0">
      <text>
        <r>
          <rPr>
            <b/>
            <sz val="9"/>
            <color indexed="81"/>
            <rFont val="Tahoma"/>
            <family val="2"/>
          </rPr>
          <t>583 sec</t>
        </r>
      </text>
    </comment>
    <comment ref="M14" authorId="1" shapeId="0">
      <text>
        <r>
          <rPr>
            <b/>
            <sz val="9"/>
            <color indexed="81"/>
            <rFont val="Tahoma"/>
            <family val="2"/>
          </rPr>
          <t>508 sec</t>
        </r>
      </text>
    </comment>
    <comment ref="N14" authorId="1" shapeId="0">
      <text>
        <r>
          <rPr>
            <b/>
            <sz val="9"/>
            <color indexed="81"/>
            <rFont val="Tahoma"/>
            <family val="2"/>
          </rPr>
          <t>739 sec</t>
        </r>
      </text>
    </comment>
    <comment ref="O14" authorId="1" shapeId="0">
      <text>
        <r>
          <rPr>
            <b/>
            <sz val="9"/>
            <color indexed="81"/>
            <rFont val="Tahoma"/>
            <family val="2"/>
          </rPr>
          <t>530 sec</t>
        </r>
      </text>
    </comment>
    <comment ref="P14" authorId="1" shapeId="0">
      <text>
        <r>
          <rPr>
            <b/>
            <sz val="9"/>
            <color indexed="81"/>
            <rFont val="Tahoma"/>
            <family val="2"/>
          </rPr>
          <t>465 sec</t>
        </r>
      </text>
    </comment>
    <comment ref="Q14" authorId="1" shapeId="0">
      <text>
        <r>
          <rPr>
            <b/>
            <sz val="9"/>
            <color indexed="81"/>
            <rFont val="Tahoma"/>
            <family val="2"/>
          </rPr>
          <t>527 sec</t>
        </r>
      </text>
    </comment>
    <comment ref="R14" authorId="1" shapeId="0">
      <text>
        <r>
          <rPr>
            <b/>
            <sz val="9"/>
            <color indexed="81"/>
            <rFont val="Tahoma"/>
            <family val="2"/>
          </rPr>
          <t>503 sec</t>
        </r>
      </text>
    </comment>
    <comment ref="S14" authorId="1" shapeId="0">
      <text>
        <r>
          <rPr>
            <b/>
            <sz val="9"/>
            <color indexed="81"/>
            <rFont val="Tahoma"/>
            <family val="2"/>
          </rPr>
          <t>510 sec</t>
        </r>
      </text>
    </comment>
    <comment ref="T14" authorId="1" shapeId="0">
      <text>
        <r>
          <rPr>
            <b/>
            <sz val="9"/>
            <color indexed="81"/>
            <rFont val="Tahoma"/>
            <family val="2"/>
          </rPr>
          <t>490 sec</t>
        </r>
      </text>
    </comment>
    <comment ref="U14" authorId="1" shapeId="0">
      <text>
        <r>
          <rPr>
            <b/>
            <sz val="9"/>
            <color indexed="81"/>
            <rFont val="Tahoma"/>
            <family val="2"/>
          </rPr>
          <t>636 sec</t>
        </r>
      </text>
    </comment>
    <comment ref="V14" authorId="1" shapeId="0">
      <text>
        <r>
          <rPr>
            <b/>
            <sz val="9"/>
            <color indexed="81"/>
            <rFont val="Tahoma"/>
            <family val="2"/>
          </rPr>
          <t>536 sec</t>
        </r>
      </text>
    </comment>
    <comment ref="W14" authorId="1" shapeId="0">
      <text>
        <r>
          <rPr>
            <b/>
            <sz val="9"/>
            <color indexed="81"/>
            <rFont val="Tahoma"/>
            <family val="2"/>
          </rPr>
          <t>609 sec</t>
        </r>
      </text>
    </comment>
    <comment ref="X14" authorId="1" shapeId="0">
      <text>
        <r>
          <rPr>
            <b/>
            <sz val="9"/>
            <color indexed="81"/>
            <rFont val="Tahoma"/>
            <family val="2"/>
          </rPr>
          <t>626 sec</t>
        </r>
      </text>
    </comment>
    <comment ref="Y14" authorId="1" shapeId="0">
      <text>
        <r>
          <rPr>
            <b/>
            <sz val="9"/>
            <color indexed="81"/>
            <rFont val="Tahoma"/>
            <family val="2"/>
          </rPr>
          <t>506 sec</t>
        </r>
      </text>
    </comment>
    <comment ref="Z14" authorId="1" shapeId="0">
      <text>
        <r>
          <rPr>
            <b/>
            <sz val="9"/>
            <color indexed="81"/>
            <rFont val="Tahoma"/>
            <family val="2"/>
          </rPr>
          <t>549 sec</t>
        </r>
      </text>
    </comment>
    <comment ref="AA14" authorId="1" shapeId="0">
      <text>
        <r>
          <rPr>
            <b/>
            <sz val="9"/>
            <color indexed="81"/>
            <rFont val="Tahoma"/>
            <family val="2"/>
          </rPr>
          <t>533 sec</t>
        </r>
      </text>
    </comment>
    <comment ref="AB14" authorId="1" shapeId="0">
      <text>
        <r>
          <rPr>
            <b/>
            <sz val="9"/>
            <color indexed="81"/>
            <rFont val="Tahoma"/>
            <family val="2"/>
          </rPr>
          <t>413 sec</t>
        </r>
      </text>
    </comment>
    <comment ref="AC14" authorId="1" shapeId="0">
      <text>
        <r>
          <rPr>
            <b/>
            <sz val="9"/>
            <color indexed="81"/>
            <rFont val="Tahoma"/>
            <family val="2"/>
          </rPr>
          <t>565 sec</t>
        </r>
      </text>
    </comment>
    <comment ref="AD14" authorId="1" shapeId="0">
      <text>
        <r>
          <rPr>
            <b/>
            <sz val="9"/>
            <color indexed="81"/>
            <rFont val="Tahoma"/>
            <family val="2"/>
          </rPr>
          <t>506 sec</t>
        </r>
      </text>
    </comment>
    <comment ref="AE14" authorId="1" shapeId="0">
      <text>
        <r>
          <rPr>
            <b/>
            <sz val="9"/>
            <color indexed="81"/>
            <rFont val="Tahoma"/>
            <family val="2"/>
          </rPr>
          <t>504 sec</t>
        </r>
      </text>
    </comment>
    <comment ref="AF14" authorId="1" shapeId="0">
      <text>
        <r>
          <rPr>
            <b/>
            <sz val="9"/>
            <color indexed="81"/>
            <rFont val="Tahoma"/>
            <family val="2"/>
          </rPr>
          <t>466 sec</t>
        </r>
      </text>
    </comment>
    <comment ref="AG14" authorId="1" shapeId="0">
      <text>
        <r>
          <rPr>
            <b/>
            <sz val="9"/>
            <color indexed="81"/>
            <rFont val="Tahoma"/>
            <family val="2"/>
          </rPr>
          <t>1315 sec</t>
        </r>
      </text>
    </comment>
    <comment ref="AH14" authorId="1" shapeId="0">
      <text>
        <r>
          <rPr>
            <b/>
            <sz val="9"/>
            <color indexed="81"/>
            <rFont val="Tahoma"/>
            <family val="2"/>
          </rPr>
          <t>616 sec</t>
        </r>
      </text>
    </comment>
    <comment ref="AI14" authorId="1" shapeId="0">
      <text>
        <r>
          <rPr>
            <b/>
            <sz val="9"/>
            <color indexed="81"/>
            <rFont val="Tahoma"/>
            <family val="2"/>
          </rPr>
          <t>529 sec</t>
        </r>
      </text>
    </comment>
    <comment ref="AJ14" authorId="1" shapeId="0">
      <text>
        <r>
          <rPr>
            <b/>
            <sz val="9"/>
            <color indexed="81"/>
            <rFont val="Tahoma"/>
            <family val="2"/>
          </rPr>
          <t>586 sec</t>
        </r>
      </text>
    </comment>
    <comment ref="O16" authorId="2" shapeId="0">
      <text>
        <r>
          <rPr>
            <sz val="10"/>
            <rFont val="Arial"/>
            <family val="2"/>
          </rPr>
          <t>als text erkannt
425 sec</t>
        </r>
      </text>
    </comment>
    <comment ref="Q16" authorId="2" shapeId="0">
      <text>
        <r>
          <rPr>
            <sz val="10"/>
            <rFont val="Arial"/>
            <family val="2"/>
          </rPr>
          <t>als text erkannt</t>
        </r>
      </text>
    </comment>
    <comment ref="R16" authorId="2" shapeId="0">
      <text>
        <r>
          <rPr>
            <sz val="10"/>
            <rFont val="Arial"/>
            <family val="2"/>
          </rPr>
          <t>als text erkannt</t>
        </r>
      </text>
    </comment>
    <comment ref="S16" authorId="2" shapeId="0">
      <text>
        <r>
          <rPr>
            <sz val="10"/>
            <rFont val="Arial"/>
            <family val="2"/>
          </rPr>
          <t>als text erkannt</t>
        </r>
      </text>
    </comment>
    <comment ref="AA16" authorId="2" shapeId="0">
      <text>
        <r>
          <rPr>
            <sz val="10"/>
            <rFont val="Arial"/>
            <family val="2"/>
          </rPr>
          <t>als text erkannt</t>
        </r>
      </text>
    </comment>
    <comment ref="E21" authorId="1" shapeId="0">
      <text>
        <r>
          <rPr>
            <b/>
            <sz val="9"/>
            <color indexed="81"/>
            <rFont val="Tahoma"/>
            <family val="2"/>
          </rPr>
          <t>476 sec</t>
        </r>
      </text>
    </comment>
    <comment ref="F21" authorId="1" shapeId="0">
      <text>
        <r>
          <rPr>
            <b/>
            <sz val="9"/>
            <color indexed="81"/>
            <rFont val="Tahoma"/>
            <family val="2"/>
          </rPr>
          <t>763 sec</t>
        </r>
      </text>
    </comment>
    <comment ref="G21" authorId="1" shapeId="0">
      <text>
        <r>
          <rPr>
            <b/>
            <sz val="9"/>
            <color indexed="81"/>
            <rFont val="Tahoma"/>
            <family val="2"/>
          </rPr>
          <t>945 sec</t>
        </r>
      </text>
    </comment>
    <comment ref="H21" authorId="1" shapeId="0">
      <text>
        <r>
          <rPr>
            <b/>
            <sz val="9"/>
            <color indexed="81"/>
            <rFont val="Tahoma"/>
            <family val="2"/>
          </rPr>
          <t>637 sec</t>
        </r>
      </text>
    </comment>
    <comment ref="I21" authorId="1" shapeId="0">
      <text>
        <r>
          <rPr>
            <b/>
            <sz val="9"/>
            <color indexed="81"/>
            <rFont val="Tahoma"/>
            <family val="2"/>
          </rPr>
          <t>877 sec</t>
        </r>
      </text>
    </comment>
    <comment ref="J21" authorId="1" shapeId="0">
      <text>
        <r>
          <rPr>
            <b/>
            <sz val="9"/>
            <color indexed="81"/>
            <rFont val="Tahoma"/>
            <family val="2"/>
          </rPr>
          <t>534 sec</t>
        </r>
      </text>
    </comment>
    <comment ref="K21" authorId="1" shapeId="0">
      <text>
        <r>
          <rPr>
            <b/>
            <sz val="9"/>
            <color indexed="81"/>
            <rFont val="Tahoma"/>
            <family val="2"/>
          </rPr>
          <t>610 sec</t>
        </r>
      </text>
    </comment>
    <comment ref="L21" authorId="1" shapeId="0">
      <text>
        <r>
          <rPr>
            <b/>
            <sz val="9"/>
            <color indexed="81"/>
            <rFont val="Tahoma"/>
            <family val="2"/>
          </rPr>
          <t>657 sec</t>
        </r>
      </text>
    </comment>
    <comment ref="M21" authorId="1" shapeId="0">
      <text>
        <r>
          <rPr>
            <b/>
            <sz val="9"/>
            <color indexed="81"/>
            <rFont val="Tahoma"/>
            <family val="2"/>
          </rPr>
          <t>548 sec</t>
        </r>
      </text>
    </comment>
    <comment ref="N21" authorId="1" shapeId="0">
      <text>
        <r>
          <rPr>
            <b/>
            <sz val="9"/>
            <color indexed="81"/>
            <rFont val="Tahoma"/>
            <family val="2"/>
          </rPr>
          <t>1020 sec</t>
        </r>
      </text>
    </comment>
    <comment ref="O21" authorId="1" shapeId="0">
      <text>
        <r>
          <rPr>
            <b/>
            <sz val="9"/>
            <color indexed="81"/>
            <rFont val="Tahoma"/>
            <family val="2"/>
          </rPr>
          <t>558 sec</t>
        </r>
      </text>
    </comment>
    <comment ref="P21" authorId="1" shapeId="0">
      <text>
        <r>
          <rPr>
            <b/>
            <sz val="9"/>
            <color indexed="81"/>
            <rFont val="Tahoma"/>
            <family val="2"/>
          </rPr>
          <t>523 sec</t>
        </r>
      </text>
    </comment>
    <comment ref="Q21" authorId="1" shapeId="0">
      <text>
        <r>
          <rPr>
            <b/>
            <sz val="9"/>
            <color indexed="81"/>
            <rFont val="Tahoma"/>
            <family val="2"/>
          </rPr>
          <t>536 sec</t>
        </r>
      </text>
    </comment>
    <comment ref="R21" authorId="1" shapeId="0">
      <text>
        <r>
          <rPr>
            <b/>
            <sz val="9"/>
            <color indexed="81"/>
            <rFont val="Tahoma"/>
            <family val="2"/>
          </rPr>
          <t>384 sec</t>
        </r>
      </text>
    </comment>
    <comment ref="S21" authorId="1" shapeId="0">
      <text>
        <r>
          <rPr>
            <b/>
            <sz val="9"/>
            <color indexed="81"/>
            <rFont val="Tahoma"/>
            <family val="2"/>
          </rPr>
          <t>527 sec</t>
        </r>
      </text>
    </comment>
    <comment ref="T21" authorId="1" shapeId="0">
      <text>
        <r>
          <rPr>
            <b/>
            <sz val="9"/>
            <color indexed="81"/>
            <rFont val="Tahoma"/>
            <family val="2"/>
          </rPr>
          <t>490 sec</t>
        </r>
      </text>
    </comment>
    <comment ref="U21" authorId="1" shapeId="0">
      <text>
        <r>
          <rPr>
            <b/>
            <sz val="9"/>
            <color indexed="81"/>
            <rFont val="Tahoma"/>
            <family val="2"/>
          </rPr>
          <t>618 sec</t>
        </r>
      </text>
    </comment>
    <comment ref="V21" authorId="1" shapeId="0">
      <text>
        <r>
          <rPr>
            <b/>
            <sz val="9"/>
            <color indexed="81"/>
            <rFont val="Tahoma"/>
            <family val="2"/>
          </rPr>
          <t>543 sec</t>
        </r>
      </text>
    </comment>
    <comment ref="W21" authorId="1" shapeId="0">
      <text>
        <r>
          <rPr>
            <b/>
            <sz val="9"/>
            <color indexed="81"/>
            <rFont val="Tahoma"/>
            <family val="2"/>
          </rPr>
          <t>554 sec</t>
        </r>
      </text>
    </comment>
    <comment ref="X21" authorId="1" shapeId="0">
      <text>
        <r>
          <rPr>
            <b/>
            <sz val="9"/>
            <color indexed="81"/>
            <rFont val="Tahoma"/>
            <family val="2"/>
          </rPr>
          <t>555 sec</t>
        </r>
      </text>
    </comment>
    <comment ref="Y21" authorId="1" shapeId="0">
      <text>
        <r>
          <rPr>
            <b/>
            <sz val="9"/>
            <color indexed="81"/>
            <rFont val="Tahoma"/>
            <family val="2"/>
          </rPr>
          <t>510 sec</t>
        </r>
      </text>
    </comment>
    <comment ref="Z21" authorId="1" shapeId="0">
      <text>
        <r>
          <rPr>
            <b/>
            <sz val="9"/>
            <color indexed="81"/>
            <rFont val="Tahoma"/>
            <family val="2"/>
          </rPr>
          <t>594 sec</t>
        </r>
      </text>
    </comment>
    <comment ref="AA21" authorId="1" shapeId="0">
      <text>
        <r>
          <rPr>
            <b/>
            <sz val="9"/>
            <color indexed="81"/>
            <rFont val="Tahoma"/>
            <family val="2"/>
          </rPr>
          <t>532 sec</t>
        </r>
      </text>
    </comment>
    <comment ref="AB21" authorId="1" shapeId="0">
      <text>
        <r>
          <rPr>
            <b/>
            <sz val="9"/>
            <color indexed="81"/>
            <rFont val="Tahoma"/>
            <family val="2"/>
          </rPr>
          <t>591 sec</t>
        </r>
      </text>
    </comment>
    <comment ref="AC21" authorId="1" shapeId="0">
      <text>
        <r>
          <rPr>
            <b/>
            <sz val="9"/>
            <color indexed="81"/>
            <rFont val="Tahoma"/>
            <family val="2"/>
          </rPr>
          <t>607 sec</t>
        </r>
      </text>
    </comment>
    <comment ref="AD21" authorId="1" shapeId="0">
      <text>
        <r>
          <rPr>
            <b/>
            <sz val="9"/>
            <color indexed="81"/>
            <rFont val="Tahoma"/>
            <family val="2"/>
          </rPr>
          <t>602 sec</t>
        </r>
      </text>
    </comment>
    <comment ref="AE21" authorId="1" shapeId="0">
      <text>
        <r>
          <rPr>
            <b/>
            <sz val="9"/>
            <color indexed="81"/>
            <rFont val="Tahoma"/>
            <family val="2"/>
          </rPr>
          <t>487 sec</t>
        </r>
      </text>
    </comment>
    <comment ref="AF21" authorId="1" shapeId="0">
      <text>
        <r>
          <rPr>
            <b/>
            <sz val="9"/>
            <color indexed="81"/>
            <rFont val="Tahoma"/>
            <family val="2"/>
          </rPr>
          <t>723 sec</t>
        </r>
      </text>
    </comment>
    <comment ref="AG21" authorId="1" shapeId="0">
      <text>
        <r>
          <rPr>
            <b/>
            <sz val="9"/>
            <color indexed="81"/>
            <rFont val="Tahoma"/>
            <family val="2"/>
          </rPr>
          <t>2040 sec</t>
        </r>
      </text>
    </comment>
    <comment ref="AH21" authorId="1" shapeId="0">
      <text>
        <r>
          <rPr>
            <b/>
            <sz val="9"/>
            <color indexed="81"/>
            <rFont val="Tahoma"/>
            <family val="2"/>
          </rPr>
          <t>823 sec</t>
        </r>
      </text>
    </comment>
    <comment ref="AI21" authorId="1" shapeId="0">
      <text>
        <r>
          <rPr>
            <b/>
            <sz val="9"/>
            <color indexed="81"/>
            <rFont val="Tahoma"/>
            <family val="2"/>
          </rPr>
          <t>561 sec</t>
        </r>
      </text>
    </comment>
    <comment ref="AJ21" authorId="1" shapeId="0">
      <text>
        <r>
          <rPr>
            <b/>
            <sz val="9"/>
            <color indexed="81"/>
            <rFont val="Tahoma"/>
            <family val="2"/>
          </rPr>
          <t>614 sec</t>
        </r>
      </text>
    </comment>
  </commentList>
</comments>
</file>

<file path=xl/sharedStrings.xml><?xml version="1.0" encoding="utf-8"?>
<sst xmlns="http://schemas.openxmlformats.org/spreadsheetml/2006/main" count="6115" uniqueCount="1916">
  <si>
    <t>I AM the SOURCE thy Code.</t>
  </si>
  <si>
    <t>1.</t>
  </si>
  <si>
    <t>Thou shall leave no bugs inside me.</t>
  </si>
  <si>
    <t xml:space="preserve">   Thou shall not make incredible claims nobody can verify.</t>
  </si>
  <si>
    <t>2.</t>
  </si>
  <si>
    <t>Thou shall not take the Name of the Source thy code in vain.</t>
  </si>
  <si>
    <t>3.</t>
  </si>
  <si>
    <t>Remember the Release day, to keep it holy.</t>
  </si>
  <si>
    <t>4.</t>
  </si>
  <si>
    <t>Honor the fame inventors and improvers, that the days may be long</t>
  </si>
  <si>
    <t xml:space="preserve">   upon thy improvement which the Source thy thought giveth thee.</t>
  </si>
  <si>
    <t>5.</t>
  </si>
  <si>
    <t>Thou shall not patent someone's code nor sell it as thy code.</t>
  </si>
  <si>
    <t>6.</t>
  </si>
  <si>
    <t>Thou shall not commit copyright infringements.</t>
  </si>
  <si>
    <t>7.</t>
  </si>
  <si>
    <t>Thou shall not steal closed-source ideas.</t>
  </si>
  <si>
    <t>8.</t>
  </si>
  <si>
    <t>Thou shall not bear false witness against thy customers.</t>
  </si>
  <si>
    <t>9.</t>
  </si>
  <si>
    <t>Thou shall not covet thy neighbor's code.</t>
  </si>
  <si>
    <t>10.</t>
  </si>
  <si>
    <t>Thou shall not covet thy neighbor's idea nor his compiler,</t>
  </si>
  <si>
    <t xml:space="preserve">   nor his code's success, nor his filters nor anything that is thy neighbors.</t>
  </si>
  <si>
    <t>%</t>
  </si>
  <si>
    <t>HKI</t>
  </si>
  <si>
    <t>GUTENBERG</t>
  </si>
  <si>
    <t>3D Game</t>
  </si>
  <si>
    <t>∫ʀeƍueהτʟy Asκeδ Quesτiʘהs</t>
  </si>
  <si>
    <t>A note to the file data sets used here:</t>
  </si>
  <si>
    <t>http://www.imagecompression.info/test_images/</t>
  </si>
  <si>
    <t>TOTAL</t>
  </si>
  <si>
    <t>D.N.A.</t>
  </si>
  <si>
    <t>arwiki-20090209-pages-articles.xml</t>
  </si>
  <si>
    <t>dewiki-20090311-pages-articles.xml</t>
  </si>
  <si>
    <t>enwiki-20090306-pages-articles.xml</t>
  </si>
  <si>
    <t>eswiki-20090124-pages-articles.xml</t>
  </si>
  <si>
    <t>frwiki-20090224-pages-articles.xml</t>
  </si>
  <si>
    <t>hiwiki-20090201-pages-articles.xml</t>
  </si>
  <si>
    <t>ptwiki-20090128-pages-articles.xml</t>
  </si>
  <si>
    <t>ruwiki-20081228-pages-articles.xml</t>
  </si>
  <si>
    <t>trwiki-20090207-pages-articles.xml</t>
  </si>
  <si>
    <t>zhwiki-20090116-pages-articles.xml</t>
  </si>
  <si>
    <t>a selection of about 25% InnoSetup/Nullsoft, 25% InstallShield, 25% Windows Installer/MSI and 25% WISE Installer/GZIP/ZIP SFX setups</t>
  </si>
  <si>
    <t>this selection simulates a typical software installation collection which can be originally downloaded on the authors websites.</t>
  </si>
  <si>
    <t>SAVEGAMES</t>
  </si>
  <si>
    <t>☺</t>
  </si>
  <si>
    <t>◦</t>
  </si>
  <si>
    <t>©</t>
  </si>
  <si>
    <t>Test Machine Specifications:</t>
  </si>
  <si>
    <t>THE TEST DATASET'S</t>
  </si>
  <si>
    <t>∑</t>
  </si>
  <si>
    <t>encoding time in seconds</t>
  </si>
  <si>
    <t>decoding time in seconds</t>
  </si>
  <si>
    <t>3D GAME</t>
  </si>
  <si>
    <t>INSTALLER</t>
  </si>
  <si>
    <t>MOBILE</t>
  </si>
  <si>
    <t>OFFICE</t>
  </si>
  <si>
    <t>SOURCES</t>
  </si>
  <si>
    <t>usual file extension</t>
  </si>
  <si>
    <t>architecture</t>
  </si>
  <si>
    <t>when released / developed</t>
  </si>
  <si>
    <t>where developed (country)</t>
  </si>
  <si>
    <t>algorithms used</t>
  </si>
  <si>
    <t>BEST Bits Per Byte value ➾</t>
  </si>
  <si>
    <t>BEST ratio ➾</t>
  </si>
  <si>
    <t>OS Name</t>
  </si>
  <si>
    <t>cores</t>
  </si>
  <si>
    <t>UNCOMPRESSED SIZE</t>
  </si>
  <si>
    <t>bit depth</t>
  </si>
  <si>
    <t>used</t>
  </si>
  <si>
    <t>.rk</t>
  </si>
  <si>
    <t>win64</t>
  </si>
  <si>
    <t>New Zealand</t>
  </si>
  <si>
    <t>ROLZ-3 + PWCM 800 MB</t>
  </si>
  <si>
    <t>.paq8p1</t>
  </si>
  <si>
    <t>win32</t>
  </si>
  <si>
    <t>USA &amp; Russia</t>
  </si>
  <si>
    <t>WinRK 3.0.0 β3 (2006) maximum</t>
  </si>
  <si>
    <t>.nz</t>
  </si>
  <si>
    <t>Finland</t>
  </si>
  <si>
    <t>.arc</t>
  </si>
  <si>
    <t>Russia</t>
  </si>
  <si>
    <t>ROLZ-3 + PPM</t>
  </si>
  <si>
    <t>Germany</t>
  </si>
  <si>
    <t>ROLZ-2 + PPM</t>
  </si>
  <si>
    <t>China</t>
  </si>
  <si>
    <t>SLIM 0.21 (2004) -w25 A. Voskoboynikov</t>
  </si>
  <si>
    <t>.fb</t>
  </si>
  <si>
    <t>United States</t>
  </si>
  <si>
    <t>PAQ 6ebb Blaster (2004) -8  'PAQ crew'</t>
  </si>
  <si>
    <t>.paq6ebb</t>
  </si>
  <si>
    <t>USA / Poland</t>
  </si>
  <si>
    <t>WinRK 2.1.6 (ROLZ-1 768MB) M. Taylor</t>
  </si>
  <si>
    <t>ROLZ-1 768 MB</t>
  </si>
  <si>
    <t>LPrePAQ 1.2 -8 (LPAQ1 + PCF 0.3.6)</t>
  </si>
  <si>
    <t>.lprepaq1</t>
  </si>
  <si>
    <t>USA + Germany</t>
  </si>
  <si>
    <t>PAQ9a -8 ('07) Matt Mahoney</t>
  </si>
  <si>
    <t>.paq9a</t>
  </si>
  <si>
    <t>USA + Russia</t>
  </si>
  <si>
    <t>LPAQ9i 9 ('08) Mahoney &amp; Ratushnyak</t>
  </si>
  <si>
    <t>.lpaq9i</t>
  </si>
  <si>
    <t>.7z</t>
  </si>
  <si>
    <t>.zpaq</t>
  </si>
  <si>
    <t>.uha</t>
  </si>
  <si>
    <t>.enc</t>
  </si>
  <si>
    <t>.sqx</t>
  </si>
  <si>
    <t>LZP ALZ PPM</t>
  </si>
  <si>
    <t>LPAQ4e (opt. 8)  2007 Matt Mahoney</t>
  </si>
  <si>
    <t>.lpaq4</t>
  </si>
  <si>
    <t>UHARC 0.6b -m3 -mm+ -md+ 32 MB</t>
  </si>
  <si>
    <t>ALZ3 291 MB</t>
  </si>
  <si>
    <t>.pim</t>
  </si>
  <si>
    <t>BIT 0.7 (Osman Turan) LWCX -P=5</t>
  </si>
  <si>
    <t>.bit</t>
  </si>
  <si>
    <t>Turkiye</t>
  </si>
  <si>
    <t>LPAQ1 (opt. 8) Matt Mahoney 2007</t>
  </si>
  <si>
    <t>.lpaq1</t>
  </si>
  <si>
    <t>.sbc</t>
  </si>
  <si>
    <t>BWT + ARI</t>
  </si>
  <si>
    <t>CMM4 0.1f 66 (2008) Christopher Mattern</t>
  </si>
  <si>
    <t>.cmm4</t>
  </si>
  <si>
    <t>CMM4 0.2b 66 (2008) Christopher Mattern</t>
  </si>
  <si>
    <t>.pmm</t>
  </si>
  <si>
    <t>PPM-II</t>
  </si>
  <si>
    <t>LZPXJ 1.2h ('06) -9 Ilia Muraviev</t>
  </si>
  <si>
    <t>.lzpxj</t>
  </si>
  <si>
    <t>LZ + ARI</t>
  </si>
  <si>
    <t>Italy</t>
  </si>
  <si>
    <t>RZM 0.07e (2008) Christian Martelock</t>
  </si>
  <si>
    <t>.rzm</t>
  </si>
  <si>
    <t>64 MB sliding window ROLZ</t>
  </si>
  <si>
    <t>.sitx</t>
  </si>
  <si>
    <t>LZ+ARI 5:25 / PPM 16:27</t>
  </si>
  <si>
    <t>.mcomp</t>
  </si>
  <si>
    <t>ROLZ-3</t>
  </si>
  <si>
    <t>STUFFIT 12.0.0.17 (sitx) SmithMicro all filters</t>
  </si>
  <si>
    <t>- unknown -</t>
  </si>
  <si>
    <t>LZ</t>
  </si>
  <si>
    <t>.flz</t>
  </si>
  <si>
    <t>CMM3 07.02.2008 Christopher Mattern</t>
  </si>
  <si>
    <t>.cmm3</t>
  </si>
  <si>
    <t>.zip</t>
  </si>
  <si>
    <t>LZH + SF + BWT + PPMd</t>
  </si>
  <si>
    <t>BIT 0.8pre (f4m) (Osman Turan) LWCX -P=5</t>
  </si>
  <si>
    <t>Durilca 0.4b (2004) -m800 -t1 D. Shkarin</t>
  </si>
  <si>
    <t>.bliz</t>
  </si>
  <si>
    <t>Blizzard 0.24 ('08) Chr. Martelock 300m</t>
  </si>
  <si>
    <t>PPMonstr ver I (2002) -o16 -m800</t>
  </si>
  <si>
    <t>LZPXJ 1.2g ('06) -9 Ilia Muraviev</t>
  </si>
  <si>
    <t>TC 5.2 Dev 2 (2007) Ilia Muraviev</t>
  </si>
  <si>
    <t>.tc</t>
  </si>
  <si>
    <t>Fast PAQ Weighting</t>
  </si>
  <si>
    <t>LZ-77 (100:128:64:20)</t>
  </si>
  <si>
    <t>RKC 1.02 -m800m -B64m -mxx -r+</t>
  </si>
  <si>
    <t>.rkc</t>
  </si>
  <si>
    <t>PPMD</t>
  </si>
  <si>
    <t>LZMA 128 MB, NO PPMd!</t>
  </si>
  <si>
    <t>MComp 2.00 (2008) -mw -M400m (M. Taylor)</t>
  </si>
  <si>
    <t>Experimental BWT 2000 MB</t>
  </si>
  <si>
    <t>Dynamic Markov Comp.</t>
  </si>
  <si>
    <t>LZMA 64 MB, NO PPMd!</t>
  </si>
  <si>
    <t>LZMA + PPMD</t>
  </si>
  <si>
    <t>.ash</t>
  </si>
  <si>
    <t>DGCA 1.00 - 1.10e ('04-'06) Shin-ichi Tsuruta</t>
  </si>
  <si>
    <t>.dgc</t>
  </si>
  <si>
    <t>Japan</t>
  </si>
  <si>
    <t>.rar</t>
  </si>
  <si>
    <t>BIT 0.2 (Osman Turan) -m lwcx -mem 9</t>
  </si>
  <si>
    <t>LZMA 32 MB, NO PPMd!</t>
  </si>
  <si>
    <t>.car</t>
  </si>
  <si>
    <t>QUAD 1.04a (2007) Ilia Muraviev</t>
  </si>
  <si>
    <t>.quad</t>
  </si>
  <si>
    <t>LZP</t>
  </si>
  <si>
    <t>TC 5.1 Dev. 7x (512 MB) Ilia Muraviev</t>
  </si>
  <si>
    <t>LZ with 512 MB dictionary</t>
  </si>
  <si>
    <t>Blizzard 0.24 ('08) Chr. Martelock 30m</t>
  </si>
  <si>
    <t>.tur</t>
  </si>
  <si>
    <t>LZMA 16 MB, NO PPMd!</t>
  </si>
  <si>
    <t>RINGS 1.5 opt. 9 ('08) Nania F. Antonio</t>
  </si>
  <si>
    <t>.rings</t>
  </si>
  <si>
    <t>Fast BWT+MTF+Pre-HUF+ARI</t>
  </si>
  <si>
    <t>.bcm</t>
  </si>
  <si>
    <t>UHARC 0.2 (1997) -m3 -md2048 -mm+</t>
  </si>
  <si>
    <t>dos16</t>
  </si>
  <si>
    <t>ALZ3 (?)</t>
  </si>
  <si>
    <t>.bee</t>
  </si>
  <si>
    <t>PPM</t>
  </si>
  <si>
    <t>TC 5.1 Dev 6 (2006) Ilia Muraviev</t>
  </si>
  <si>
    <t>LZ + CM</t>
  </si>
  <si>
    <t>BALZ 1.11 (2008) Ilia Muraviev Mode ex</t>
  </si>
  <si>
    <t>.balz</t>
  </si>
  <si>
    <t>LZ77 (greedy parsing)</t>
  </si>
  <si>
    <t>PIMPLE 1.43 extreme Ilia Muraviev</t>
  </si>
  <si>
    <t>LZP + CM</t>
  </si>
  <si>
    <t>.dul</t>
  </si>
  <si>
    <t>.ace</t>
  </si>
  <si>
    <t>LZ77 + Huff</t>
  </si>
  <si>
    <t>.dc</t>
  </si>
  <si>
    <t>BWT, Ari, Distance Coding</t>
  </si>
  <si>
    <t>WinTurtle 1.4.0 (2007) Nania F. Antonio</t>
  </si>
  <si>
    <t>FPPM, 512 MB buffer, solid</t>
  </si>
  <si>
    <t>Squeez 4.20.440 ('03) 4MB max + delta</t>
  </si>
  <si>
    <t>Stuffit 9.0 - 9.5/10 (sitx) (Allume) arsenic</t>
  </si>
  <si>
    <t>ATOM™ (arsenic)</t>
  </si>
  <si>
    <t>PIM 2.90 (2009) Ilia Muraviev (Best)</t>
  </si>
  <si>
    <t>CTXf 0.75 pre-b1 (2003) -me -b L. Nikita</t>
  </si>
  <si>
    <t>.cxf</t>
  </si>
  <si>
    <t>Belarus</t>
  </si>
  <si>
    <t>.rz</t>
  </si>
  <si>
    <t>.m03</t>
  </si>
  <si>
    <t>BWT</t>
  </si>
  <si>
    <t>4x4 0.1 Option 9 (2008) Bulat Ziganshin</t>
  </si>
  <si>
    <t>.4</t>
  </si>
  <si>
    <t>LZMA</t>
  </si>
  <si>
    <t>DARK 0.46 -b128mf1s2 (2006) D. Malyshev</t>
  </si>
  <si>
    <t>.dark</t>
  </si>
  <si>
    <t>BWT + Distance Coding</t>
  </si>
  <si>
    <t>BSSC 0.95α  -b16383as Sergeo Sizikov</t>
  </si>
  <si>
    <t>.bssc</t>
  </si>
  <si>
    <t>CTXf 0.69 ('03) (Superb) -me -b L. Nikita</t>
  </si>
  <si>
    <t>TarsaLZP Interim (21.08.07) Piotr Tarsa</t>
  </si>
  <si>
    <t>.tzr</t>
  </si>
  <si>
    <t>Poland</t>
  </si>
  <si>
    <t>order-3 LZP + order-2 PPM</t>
  </si>
  <si>
    <t>WinRar 2.90 Final (2001) Eugene Roshal</t>
  </si>
  <si>
    <t>.m99</t>
  </si>
  <si>
    <t>BTW + MSufSort3.1 + Ari</t>
  </si>
  <si>
    <t>BWT + MSufSort3.1 + Ari</t>
  </si>
  <si>
    <t>.gq</t>
  </si>
  <si>
    <t>Romania</t>
  </si>
  <si>
    <t>LZPM 0.11 (02.09.07) -9 Ilia Muraviev</t>
  </si>
  <si>
    <t>.lzpm</t>
  </si>
  <si>
    <t>LZ77 + PPM</t>
  </si>
  <si>
    <t>PPMVC 1.2 -o8 -m256 P. Skibinski</t>
  </si>
  <si>
    <t>.pmv</t>
  </si>
  <si>
    <t>Russia / Poland</t>
  </si>
  <si>
    <t>PPM-II + Variable Context</t>
  </si>
  <si>
    <t>TORnado 0.4 (2008) -12 Bulat Ziganshin</t>
  </si>
  <si>
    <t>.tor</t>
  </si>
  <si>
    <t>UHBC 1.0 ('03) -b128m -m3 Uwe Herklotz</t>
  </si>
  <si>
    <t>.uhbc</t>
  </si>
  <si>
    <t>BWT + WFC + MTF</t>
  </si>
  <si>
    <t>.pmd</t>
  </si>
  <si>
    <t>QC 0.50 (2006) e -8 Denis Kyznetsov</t>
  </si>
  <si>
    <t>.qc</t>
  </si>
  <si>
    <t>LZ + PPM</t>
  </si>
  <si>
    <t>PIM 2.50 (2008) Ilia Muraviev (Best)</t>
  </si>
  <si>
    <t>MComp 2.00 (2008) -mc -M512m (M. Taylor)</t>
  </si>
  <si>
    <t>Experimental DMC</t>
  </si>
  <si>
    <t>BALZ 1.15 (2008) Ilia Muraviev Mode ex</t>
  </si>
  <si>
    <t>QazaR 0.0 pre 5 ('06) -d9 -x7 -l7 D. Kyznetsov</t>
  </si>
  <si>
    <t>.aza</t>
  </si>
  <si>
    <t>LZP + ARI</t>
  </si>
  <si>
    <t>PPMonstr ver G ('00) -o16 -m256 D. Shkarin</t>
  </si>
  <si>
    <t>.hook</t>
  </si>
  <si>
    <t>Italia</t>
  </si>
  <si>
    <t>YBS 0.03f -m16m Vadim Yoockin</t>
  </si>
  <si>
    <t>.ybs</t>
  </si>
  <si>
    <t>DARK 0.50 -b200ms (2006) Dmitry Malyshev</t>
  </si>
  <si>
    <t>7-ZIP 2.3 β 28 solid max Igor Pavlov</t>
  </si>
  <si>
    <t>LZMA PPMD</t>
  </si>
  <si>
    <t>ABC 2.4 (2003) -c Jürgen Abel</t>
  </si>
  <si>
    <t>.abc</t>
  </si>
  <si>
    <t>BWT + MTF, SiF, AWFC</t>
  </si>
  <si>
    <t>ZZIP 0.36 -56m -mx ('02) Damien Debin</t>
  </si>
  <si>
    <t>.zz</t>
  </si>
  <si>
    <t>France</t>
  </si>
  <si>
    <t>FPAQ S06 (2006)</t>
  </si>
  <si>
    <t>.fpaq</t>
  </si>
  <si>
    <t>LZP+PPM+OX</t>
  </si>
  <si>
    <t>FreeHOOK 0.2 option c 912-2-1-6</t>
  </si>
  <si>
    <t>Italia / United States</t>
  </si>
  <si>
    <t>LZPM 0.16 (2008) Ilia Muraviev mode ex</t>
  </si>
  <si>
    <t>LZ77 with 8 MB dictionary</t>
  </si>
  <si>
    <t>ICT Universal Coder 2.1 ('99)</t>
  </si>
  <si>
    <t>.ict</t>
  </si>
  <si>
    <t>TarsaLZP (04.08.2007) Piotr Tarsa</t>
  </si>
  <si>
    <t>.grz</t>
  </si>
  <si>
    <t>LZP + BWT + AWFC + MTF + ARI</t>
  </si>
  <si>
    <t>QUAD 1.12 Final -x (2007) Ilia Muraviev</t>
  </si>
  <si>
    <t>.bma</t>
  </si>
  <si>
    <t>BWT + MTF + RLE + Ari</t>
  </si>
  <si>
    <t>LZP + PPM</t>
  </si>
  <si>
    <t>PIM 1.25 (2006) Ilia Muraviev</t>
  </si>
  <si>
    <t>BOA Constrictor 0.58  -a -s -m15 Ian Sutton</t>
  </si>
  <si>
    <t>.b58</t>
  </si>
  <si>
    <t>CBT 1.072 β 26 Mode 4, solid K-Shinya</t>
  </si>
  <si>
    <t>.cbt</t>
  </si>
  <si>
    <t>LZ 77 + BWT</t>
  </si>
  <si>
    <t>.ppmx</t>
  </si>
  <si>
    <t>PPMX</t>
  </si>
  <si>
    <t>CMM 17.09.2007 Christopher Mattern</t>
  </si>
  <si>
    <t>.cmm</t>
  </si>
  <si>
    <t>WinIMP 1.2 max Alg. 1/2, 1020, 16mb</t>
  </si>
  <si>
    <t>.imp</t>
  </si>
  <si>
    <t>Australia</t>
  </si>
  <si>
    <t>LZ77 + BWT</t>
  </si>
  <si>
    <t>ACB 2.00c MAX George Buyanovsky</t>
  </si>
  <si>
    <t>.acb</t>
  </si>
  <si>
    <t>UFA 0.04 β 1 ('98) -mx -mu32 -s -mg</t>
  </si>
  <si>
    <t>.ufa</t>
  </si>
  <si>
    <t>PAQ 1 / KGB Archiver 2 M. Mahoney</t>
  </si>
  <si>
    <t>.paq1</t>
  </si>
  <si>
    <t>RAR 2.50 (1996) best, solid mmedia</t>
  </si>
  <si>
    <t>RAR 2.00 (1996) best, solid, mmedia</t>
  </si>
  <si>
    <t>PIM 2.01 (2007) Ilia Muraviev (PPMd)</t>
  </si>
  <si>
    <t>UFA 0.03 β 4 ('97) -mx -mu32 -s -m5</t>
  </si>
  <si>
    <t>BIT Archiver 0.1 ('07) Osman Turan</t>
  </si>
  <si>
    <t>ARHANGEL 1.40  /2 /mm /mf G. Lyapko</t>
  </si>
  <si>
    <t>.lg</t>
  </si>
  <si>
    <t>Ukraine</t>
  </si>
  <si>
    <t>RLE + LZ / PPM + ARI; BMC</t>
  </si>
  <si>
    <t>Disintegrator 0.9b  -mg -4 c (1998)</t>
  </si>
  <si>
    <t>.dst</t>
  </si>
  <si>
    <t>LZ77 + PPM + DHUF</t>
  </si>
  <si>
    <t>BZP 0.3 (2008) Nania Francesco Antonio</t>
  </si>
  <si>
    <t>.bzp</t>
  </si>
  <si>
    <t>BruteCM 0.1c (2008) VCORE</t>
  </si>
  <si>
    <t>Taiwan</t>
  </si>
  <si>
    <t>BioArchiver 1.9 hyper, automatic</t>
  </si>
  <si>
    <t>.bio</t>
  </si>
  <si>
    <t>.hki</t>
  </si>
  <si>
    <t>ICE-OWS (2002) max Raphaël Mounier</t>
  </si>
  <si>
    <t>.ice</t>
  </si>
  <si>
    <t>LZ + PPM II</t>
  </si>
  <si>
    <t>LZTURBO 0.9 (2008) Hamid Bouzidi -59</t>
  </si>
  <si>
    <t>.lzturbo</t>
  </si>
  <si>
    <t>LZ77 + Ari</t>
  </si>
  <si>
    <t>Chile 0.3d (2005) -c -v=2 -b=2048</t>
  </si>
  <si>
    <t>.chile</t>
  </si>
  <si>
    <t>LZPXJ 1.0e (2006) Ilia Muraviev</t>
  </si>
  <si>
    <t>LZXQ 0.3 (2007) Vcore</t>
  </si>
  <si>
    <t>.lzxq</t>
  </si>
  <si>
    <t>LZP + order 4-2-1 ARI</t>
  </si>
  <si>
    <t>PPMNKM 1.00b1+ -M:50 -MT1 M. Smirnov</t>
  </si>
  <si>
    <t>.ppmnkm</t>
  </si>
  <si>
    <t>SR3 ('07) M. Mahoney / N.F. Antonio</t>
  </si>
  <si>
    <t>.sr3</t>
  </si>
  <si>
    <t>U.S.A. / Italy</t>
  </si>
  <si>
    <t>PAR 2.00 build 61 (2001) Philipp Druyts</t>
  </si>
  <si>
    <t>.par</t>
  </si>
  <si>
    <t>Belgium</t>
  </si>
  <si>
    <t>BWT + Huff</t>
  </si>
  <si>
    <t>777 Archiver ('98) -mg -mu32 -s Igor Pavlov</t>
  </si>
  <si>
    <t>.777</t>
  </si>
  <si>
    <t>Transform 1.02 (maximum) M. Bone</t>
  </si>
  <si>
    <t>.tfm</t>
  </si>
  <si>
    <t>BGB-LZ2A Brendan G. Bohannon</t>
  </si>
  <si>
    <t>.lz2a</t>
  </si>
  <si>
    <t>LZ77 + ARI</t>
  </si>
  <si>
    <t>XTREME 1.06 ('99) -m0 -s -t8 B. Sabin</t>
  </si>
  <si>
    <t>.xtreme</t>
  </si>
  <si>
    <t>Urban Compressor ('91) U.Koistinen</t>
  </si>
  <si>
    <t>.urb</t>
  </si>
  <si>
    <t>Sweden</t>
  </si>
  <si>
    <t>(?)</t>
  </si>
  <si>
    <t>.packet</t>
  </si>
  <si>
    <t>LZ77 + ARI order-0</t>
  </si>
  <si>
    <t>BIX 1.00 β 7 (1999) -s -m1 -mdg I. Pavlov</t>
  </si>
  <si>
    <t>.bix</t>
  </si>
  <si>
    <t>LZ + ARI + PPM</t>
  </si>
  <si>
    <t>FCM3-RC (2008) Ilia Muraviev</t>
  </si>
  <si>
    <t>.fcm</t>
  </si>
  <si>
    <t>Fast CM</t>
  </si>
  <si>
    <t>Microsoft CAB (LZX21 max)</t>
  </si>
  <si>
    <t>.cab</t>
  </si>
  <si>
    <t>DACT 0.8.39 (2004) Roy Keene</t>
  </si>
  <si>
    <t>.dact</t>
  </si>
  <si>
    <t>RLE + LZO + ZLIB + BWT</t>
  </si>
  <si>
    <t>Tornado 0.1 -12 -b100 B. Ziganshin</t>
  </si>
  <si>
    <t>LZRW1 + ARI</t>
  </si>
  <si>
    <t>CTW 0.1 -n16M -f16M Frank Willems</t>
  </si>
  <si>
    <t>.ctw</t>
  </si>
  <si>
    <t>Netherlands</t>
  </si>
  <si>
    <t>Context Tree Weighting</t>
  </si>
  <si>
    <t>.exe</t>
  </si>
  <si>
    <t>EXP1 Experimental Archiver 1.0</t>
  </si>
  <si>
    <t>.exp</t>
  </si>
  <si>
    <t>BZIP2 (BWT)</t>
  </si>
  <si>
    <t>.bz2</t>
  </si>
  <si>
    <t>BWT, 900kb blocks</t>
  </si>
  <si>
    <t>QUANTUM 0.97 -c5 -t21 (1995)</t>
  </si>
  <si>
    <t>.q</t>
  </si>
  <si>
    <t>P12 Neural Network Matt Mahoney</t>
  </si>
  <si>
    <t>.p12</t>
  </si>
  <si>
    <t>Neural Network</t>
  </si>
  <si>
    <t>BWTZIP 1.0 ('03) Stephan T. Lavavej</t>
  </si>
  <si>
    <t>.bwtzip</t>
  </si>
  <si>
    <t>BWT + MTF-2 + ZLE + Huff</t>
  </si>
  <si>
    <t>LZPX 1.5b (2005) Ilia Muraviev</t>
  </si>
  <si>
    <t>.lzpx</t>
  </si>
  <si>
    <t>Compress 1.22 (max) Philipp Druyts</t>
  </si>
  <si>
    <t>.pak</t>
  </si>
  <si>
    <t>TarsaLZP (2007) Piotr Tarsa</t>
  </si>
  <si>
    <t>TORnado 0.3 (2008) default Bulat Ziganshin</t>
  </si>
  <si>
    <t>SLUG X (2009) Christian Martelock</t>
  </si>
  <si>
    <t>.sx</t>
  </si>
  <si>
    <t>RHSO-LZ</t>
  </si>
  <si>
    <t>SR2 v2 (2008) Piotr Tarsa</t>
  </si>
  <si>
    <t>.sr2v2</t>
  </si>
  <si>
    <t>Symbol Ranking</t>
  </si>
  <si>
    <t>.uc2</t>
  </si>
  <si>
    <t>LZ + Huff</t>
  </si>
  <si>
    <t>X1 0.95 β (aum4l3d9) Stig Valentini</t>
  </si>
  <si>
    <t>.x</t>
  </si>
  <si>
    <t>Danmark</t>
  </si>
  <si>
    <t>4x4 0.1 Option 5 (2008) Bulat Ziganshin</t>
  </si>
  <si>
    <t>.lzds</t>
  </si>
  <si>
    <t>LZ77</t>
  </si>
  <si>
    <t>ACE-ARCHIVER 1.2 (maximum) M. Lemke</t>
  </si>
  <si>
    <t>.slug</t>
  </si>
  <si>
    <t>WinAce 1.2 (1999) maximum 1024k</t>
  </si>
  <si>
    <t>.ha</t>
  </si>
  <si>
    <t>THOR 0.96α (2007) e4 Oscar Garcia</t>
  </si>
  <si>
    <t>.thor</t>
  </si>
  <si>
    <t>Spain</t>
  </si>
  <si>
    <t>slow LZP</t>
  </si>
  <si>
    <t>YAC 1.02 (1995) Aleksandras Surna</t>
  </si>
  <si>
    <t>.yac</t>
  </si>
  <si>
    <t>Lithuania</t>
  </si>
  <si>
    <t>1024 kb LZ + Huffman</t>
  </si>
  <si>
    <t>ASH 0.4a ('03) /o16 /m512 Eugene Shelwien</t>
  </si>
  <si>
    <t>DCA Archiver 1.0.1 (best) (2000)</t>
  </si>
  <si>
    <t>.dca</t>
  </si>
  <si>
    <t>JAR32 1.02 (1997) -m4 Robert Jung</t>
  </si>
  <si>
    <t>.jar</t>
  </si>
  <si>
    <t>SLUG 1.27 (2008) Christian Martelock</t>
  </si>
  <si>
    <t>Stuffit 7.0 (2002) Aladdin Systems</t>
  </si>
  <si>
    <t>.sit</t>
  </si>
  <si>
    <t>FCM2P3 (2008) Ilia Muraviev</t>
  </si>
  <si>
    <t>KZIP ('06) /s0 /b1024 /rn Ken Silverman</t>
  </si>
  <si>
    <t>AKT32 70 β 7 (2000) Agyhalál</t>
  </si>
  <si>
    <t>.akt</t>
  </si>
  <si>
    <t>Hungary</t>
  </si>
  <si>
    <t>BSA 2.0 (1995) -a .bsn PTS Ltd.</t>
  </si>
  <si>
    <t>.bsn</t>
  </si>
  <si>
    <t>Arithmetic Coding</t>
  </si>
  <si>
    <t>LHARK 0.4d (1997) K.F. Medina -tob</t>
  </si>
  <si>
    <t>.lzh</t>
  </si>
  <si>
    <t>-unknown -</t>
  </si>
  <si>
    <t>&gt;64kb LZSS + 32 kb Huff</t>
  </si>
  <si>
    <t>TORnado 0.3 (2008) -12 -b100 -h64</t>
  </si>
  <si>
    <t>THOR 0.96α (2007) e5 Oscar Garcia</t>
  </si>
  <si>
    <t>.gz</t>
  </si>
  <si>
    <t>LZ77 + SF + Huff</t>
  </si>
  <si>
    <t>Huffman Comp. Engine II 0.21q (J.Jared)</t>
  </si>
  <si>
    <t>64kb LZSS + 32 kb Huff</t>
  </si>
  <si>
    <t>GZIP 1.3.12 (-9) ('07) Jean-Loup Gailly</t>
  </si>
  <si>
    <t>LIMIT 1.2 -mx (1993) J.Y. Lim</t>
  </si>
  <si>
    <t>.lim</t>
  </si>
  <si>
    <t>32k LZ77 + Huffmann</t>
  </si>
  <si>
    <t>HIT 2.10 (1994) a -x Bogdan Ureche</t>
  </si>
  <si>
    <t>.hit</t>
  </si>
  <si>
    <t>M01 (2008) Christopher Mattern</t>
  </si>
  <si>
    <t>.m01</t>
  </si>
  <si>
    <t>order-1 Context Mixing</t>
  </si>
  <si>
    <t>QUARK 1.0 β (1993) Robert Kunz</t>
  </si>
  <si>
    <t>.ark</t>
  </si>
  <si>
    <t>CAN Manager ('02) DarkFire Productions</t>
  </si>
  <si>
    <t>.can</t>
  </si>
  <si>
    <t>LZ ZLIB</t>
  </si>
  <si>
    <t>ZET 0.10 β -eh  ('94) Oleg V. Zaimkin</t>
  </si>
  <si>
    <t>.zet</t>
  </si>
  <si>
    <t>DZIP 2.9 (2003) S. Schwoon / N. Pflug</t>
  </si>
  <si>
    <t>.dz</t>
  </si>
  <si>
    <t>ZLIB</t>
  </si>
  <si>
    <t>SQZ (Squeeze It) 1.08.3 ('93) J. Hammarberg</t>
  </si>
  <si>
    <t>.sqz</t>
  </si>
  <si>
    <t>vuZIP 1.8 Build 3.185 (maximum)</t>
  </si>
  <si>
    <t>.ziv</t>
  </si>
  <si>
    <t>LZ variant</t>
  </si>
  <si>
    <t>AMG 2.2 ('93) max Milen Georgiev</t>
  </si>
  <si>
    <t>.amg</t>
  </si>
  <si>
    <t>Bulgaria</t>
  </si>
  <si>
    <t>LZ Variant</t>
  </si>
  <si>
    <t>.pea</t>
  </si>
  <si>
    <t>Deflate</t>
  </si>
  <si>
    <t>AIN 2.32 -m1 (1996) Transas Marine Ltd.</t>
  </si>
  <si>
    <t>.ain</t>
  </si>
  <si>
    <t>CODEC 3.10 -C9 Telvox Italia</t>
  </si>
  <si>
    <t>.lib</t>
  </si>
  <si>
    <t>RAR 1.55 (1995) max Eugene Roshal</t>
  </si>
  <si>
    <t>.arj</t>
  </si>
  <si>
    <t>LZSS + Huff</t>
  </si>
  <si>
    <t>BestCrypt Archiver 1.03 - 1.08.3 ('05)</t>
  </si>
  <si>
    <t>.bca</t>
  </si>
  <si>
    <t>Korea</t>
  </si>
  <si>
    <t>BAR Archiver 1.1.2 ('04) Frank Jennings</t>
  </si>
  <si>
    <t>.bar</t>
  </si>
  <si>
    <t>JAVA</t>
  </si>
  <si>
    <t>BWT + RLE + MTF + ENT</t>
  </si>
  <si>
    <t>Chaos Compressor 3.0 (2004) SafeSoft</t>
  </si>
  <si>
    <t>.ccr</t>
  </si>
  <si>
    <t>AR 0.02 (1990) Haruhiko Okumura</t>
  </si>
  <si>
    <t>.ar</t>
  </si>
  <si>
    <t>LHA 2.55 - 2.67 (1992) lh5, 16kb huff</t>
  </si>
  <si>
    <t>64 kb LZSS + 16 kb Huff</t>
  </si>
  <si>
    <t>LZA 1.01 (1999) Chiefs LZ Archiver (max)</t>
  </si>
  <si>
    <t>.lzz</t>
  </si>
  <si>
    <t>Africa</t>
  </si>
  <si>
    <t>Hamarsoft HAP 3.00 (1992) H. Feldman</t>
  </si>
  <si>
    <t>.hap</t>
  </si>
  <si>
    <t>Hamarsoft HAP 4.02m (1996) H. Feldman</t>
  </si>
  <si>
    <t>HPACK 0.79 -U P.C. Gutmann</t>
  </si>
  <si>
    <t>.hpk</t>
  </si>
  <si>
    <t>LZA</t>
  </si>
  <si>
    <t>ESP 1.92 /M0 /MM2 (1996) GyikSoft</t>
  </si>
  <si>
    <t>.esp</t>
  </si>
  <si>
    <t>Deep Freezer 1.06 (1999) Yamazaki</t>
  </si>
  <si>
    <t>.yz1</t>
  </si>
  <si>
    <t>LZH</t>
  </si>
  <si>
    <t>ARQ Crusher! 3.2 DC Micro Development</t>
  </si>
  <si>
    <t>.arq</t>
  </si>
  <si>
    <t>BlakHole (2004)</t>
  </si>
  <si>
    <t>.bh</t>
  </si>
  <si>
    <t>Jabosoft Archiver 1.0 (2004) Jabosoft</t>
  </si>
  <si>
    <t>.jzip</t>
  </si>
  <si>
    <t>LZARI (1989) Haruhiko Okumura</t>
  </si>
  <si>
    <t>.lza</t>
  </si>
  <si>
    <t>NOAH's ARChiver 1.1 ('90) Richard Levey</t>
  </si>
  <si>
    <t>.noa</t>
  </si>
  <si>
    <t>WWPACK 3.05 β4 Wierzbicki &amp; Warezak</t>
  </si>
  <si>
    <t>.wwp</t>
  </si>
  <si>
    <t>LZHUF (1989) Haruhiko Okumura</t>
  </si>
  <si>
    <t>LZ + Huffman</t>
  </si>
  <si>
    <t>Freeze 1.0 A. Reeve / ICE 1.0.2 M. Lamanuzzi</t>
  </si>
  <si>
    <t>ELI 5750 (1997) -a -C Jule Revsin</t>
  </si>
  <si>
    <t>.eli</t>
  </si>
  <si>
    <t>FPAQ 3d option c 6 (2006)</t>
  </si>
  <si>
    <t>.fpaq3</t>
  </si>
  <si>
    <t>Order 28 PPM</t>
  </si>
  <si>
    <t>FPAQ 3 (2006)</t>
  </si>
  <si>
    <t>LZP + PPM + OX</t>
  </si>
  <si>
    <t>KTY Archiver 1.3 (2002) HyperBeat</t>
  </si>
  <si>
    <t>.kty</t>
  </si>
  <si>
    <t>LZOP 1.02RC1w (2005) -9 Oberhumer</t>
  </si>
  <si>
    <t>.lzo</t>
  </si>
  <si>
    <t>LZOP</t>
  </si>
  <si>
    <t>.hs</t>
  </si>
  <si>
    <t>Huffman (?)</t>
  </si>
  <si>
    <t>LZSS 0.01 (2008) Ilia Muraview Mode ex</t>
  </si>
  <si>
    <t>.lzss</t>
  </si>
  <si>
    <t>LZSS Storer&amp;Szymanski parsing</t>
  </si>
  <si>
    <t>LZ77 (aPLib)</t>
  </si>
  <si>
    <t>Order 0 ARI</t>
  </si>
  <si>
    <t>COMP-2a ('90) -o 7 Mark R. Nelson</t>
  </si>
  <si>
    <t>.cmp</t>
  </si>
  <si>
    <t>Hyper 2.6 (1992) Peter Sawatzki -a</t>
  </si>
  <si>
    <t>.hyp</t>
  </si>
  <si>
    <t>LZW</t>
  </si>
  <si>
    <t>LZC 0.05b opt. c 16 Nania F. Antonio</t>
  </si>
  <si>
    <t>.lzc</t>
  </si>
  <si>
    <t>LZC</t>
  </si>
  <si>
    <t>ChArc 1.2 (1990) S. Tchernivetzky</t>
  </si>
  <si>
    <t>.chz</t>
  </si>
  <si>
    <t>Denmark</t>
  </si>
  <si>
    <t>LZC 0.07 (c 10) N.F. Antonio msvcr70.dll</t>
  </si>
  <si>
    <t>PKZIP 1.10 ('90) Implode max -ei P. Katz</t>
  </si>
  <si>
    <t>Implode (LZW + ShFano)</t>
  </si>
  <si>
    <t>PAK 2.51 (1990) /CR NoGate Consulting</t>
  </si>
  <si>
    <t>Central Point Shrink (1992)</t>
  </si>
  <si>
    <t>.cpz</t>
  </si>
  <si>
    <t>TC 4.3 (2005) Ilia Muraviev</t>
  </si>
  <si>
    <t>JAM Aug/96 (1996) W.Jiang</t>
  </si>
  <si>
    <t>.jam</t>
  </si>
  <si>
    <t>8k LZ78</t>
  </si>
  <si>
    <t>UCL 1.03 (UCL library) M. Oberhumer</t>
  </si>
  <si>
    <t>.ucl</t>
  </si>
  <si>
    <t>LZ derivative</t>
  </si>
  <si>
    <t>ZOO 2.10 ah (1991) Rahul Dhesi</t>
  </si>
  <si>
    <t>.zoo</t>
  </si>
  <si>
    <t>Cuba (?)</t>
  </si>
  <si>
    <t>PKZIP 0.92 (1989) -ex Reduce 4 P. Katz</t>
  </si>
  <si>
    <t>LZW + Probabilistic</t>
  </si>
  <si>
    <t>.shk</t>
  </si>
  <si>
    <t>BigCrunch 0.4 RC1 (2006) -mx</t>
  </si>
  <si>
    <t>.bc</t>
  </si>
  <si>
    <t>LZR + BMA + MTF + BRA</t>
  </si>
  <si>
    <t>WinMPQ 1.54 - 1.64 ('02) ShadowFlare</t>
  </si>
  <si>
    <t>.mpq</t>
  </si>
  <si>
    <t>Stirling Compressor 1.3.21 (InstallShield)</t>
  </si>
  <si>
    <t>.tsc</t>
  </si>
  <si>
    <t>NSK (NaShrinK) 5.0 (1998) NashSoft</t>
  </si>
  <si>
    <t>.nsk</t>
  </si>
  <si>
    <t>LZSS</t>
  </si>
  <si>
    <t>THOR 0.96α (2007) e1 Oscar Garcia</t>
  </si>
  <si>
    <t>fast LZP</t>
  </si>
  <si>
    <t>6PACK (16.06.07) Ariya Hidayat</t>
  </si>
  <si>
    <t>.6 (?)</t>
  </si>
  <si>
    <t>Indonesia</t>
  </si>
  <si>
    <t>Fast LZ</t>
  </si>
  <si>
    <t>Dynamic LZW2</t>
  </si>
  <si>
    <t>FPAQa ('07) M. Mahoney &amp; J. Duda</t>
  </si>
  <si>
    <t>.fpaqa</t>
  </si>
  <si>
    <t>Order 0 + Asymm. Binary Coder</t>
  </si>
  <si>
    <t>fpaq0pv5</t>
  </si>
  <si>
    <t>PKZIP 1.10 (1990) (-es) Shrink max P. Katz</t>
  </si>
  <si>
    <t>Shrink</t>
  </si>
  <si>
    <t>LZSS (1989) Haruhiko Okumura</t>
  </si>
  <si>
    <t>.lzs</t>
  </si>
  <si>
    <t>.ta_</t>
  </si>
  <si>
    <t>MDCD 1.0 (1988) Mike Davenport</t>
  </si>
  <si>
    <t>.cd</t>
  </si>
  <si>
    <t>Canada</t>
  </si>
  <si>
    <t>Dynamic LZW1</t>
  </si>
  <si>
    <t>BLINK 1.0 (1999) DeTrans Software</t>
  </si>
  <si>
    <t>.bli</t>
  </si>
  <si>
    <t>RLE + LZE</t>
  </si>
  <si>
    <t>LZRW1 (1992) Dr. Ross Williams</t>
  </si>
  <si>
    <t>.lzr</t>
  </si>
  <si>
    <t>LZRW1</t>
  </si>
  <si>
    <t>After Radix BWT</t>
  </si>
  <si>
    <t>SPLINT 2.1 ('89) -e Rikitake / Wakatabe</t>
  </si>
  <si>
    <t>.spl</t>
  </si>
  <si>
    <t>SPLAY Trees</t>
  </si>
  <si>
    <t>ARCA 1.29 (1987) W.Chin / V.Buerg</t>
  </si>
  <si>
    <t>LZW 0.2 (2008) Ilia Muraviev</t>
  </si>
  <si>
    <t>.lzw</t>
  </si>
  <si>
    <t>LZMW</t>
  </si>
  <si>
    <t>NICE (2003) S. Pötschner / W. Scherer</t>
  </si>
  <si>
    <t>.nice</t>
  </si>
  <si>
    <t>RLE + Huffmann</t>
  </si>
  <si>
    <t>FIN (1991) Puttonen / Raita / Teuhola</t>
  </si>
  <si>
    <t>.fin</t>
  </si>
  <si>
    <t>GAS 2.0 (1993) ISP; Ricky Bhatti</t>
  </si>
  <si>
    <t>.gas</t>
  </si>
  <si>
    <t>SPLAY (1988) Kim Kokkonen</t>
  </si>
  <si>
    <t>WinBcomp 0.1 (1999) Bruno Riviere</t>
  </si>
  <si>
    <t>.bcp</t>
  </si>
  <si>
    <t>early LZW</t>
  </si>
  <si>
    <t>SQPC 1.31 (1986) Richard Greenlaw</t>
  </si>
  <si>
    <t>.sqpc</t>
  </si>
  <si>
    <t>.rlc</t>
  </si>
  <si>
    <t>India</t>
  </si>
  <si>
    <t>RLE</t>
  </si>
  <si>
    <t>.pcf</t>
  </si>
  <si>
    <t>LZWCOM (1985) Kent Williams</t>
  </si>
  <si>
    <t>Armenian Packer 1D (2003)</t>
  </si>
  <si>
    <t>not tested</t>
  </si>
  <si>
    <t>crashed</t>
  </si>
  <si>
    <t>.ap</t>
  </si>
  <si>
    <t>Armenia</t>
  </si>
  <si>
    <t>Belon Archiver</t>
  </si>
  <si>
    <t>.bel</t>
  </si>
  <si>
    <t>BGB-PAQ 0_2 (2005)</t>
  </si>
  <si>
    <t xml:space="preserve"> </t>
  </si>
  <si>
    <t>.bgb</t>
  </si>
  <si>
    <t>BVI 1.70 -m5</t>
  </si>
  <si>
    <t>.bvi</t>
  </si>
  <si>
    <t>DARK 0.51 p-b256m (2007)</t>
  </si>
  <si>
    <t xml:space="preserve">EMILCONT 0.2 option -6 (2004)        </t>
  </si>
  <si>
    <t>.emilcont</t>
  </si>
  <si>
    <t>EMILCONT 0.2xx -7 (2005)</t>
  </si>
  <si>
    <t>EMILCONT 0.3 α -5 (05)</t>
  </si>
  <si>
    <t>File2Pack ™ 2.0.0 ('05) Mental9 Productions</t>
  </si>
  <si>
    <t>error</t>
  </si>
  <si>
    <t>.f2p</t>
  </si>
  <si>
    <t>HPA COMPRESSOR 1.8 (1998)</t>
  </si>
  <si>
    <t>.hpa</t>
  </si>
  <si>
    <t>HUF 1.0 (1990) William Demas</t>
  </si>
  <si>
    <t>.huf</t>
  </si>
  <si>
    <t>Huffman</t>
  </si>
  <si>
    <t>MAR Melting Pot Archiver (PPM)</t>
  </si>
  <si>
    <t>.mar</t>
  </si>
  <si>
    <t>LZH + BWT + PPM</t>
  </si>
  <si>
    <t>Miliki Compressor Pro 1.02.0214</t>
  </si>
  <si>
    <t>.qcf</t>
  </si>
  <si>
    <t>MPC 3.0 (1996) Marco Czudej</t>
  </si>
  <si>
    <t>.mpc</t>
  </si>
  <si>
    <t>MSXIE 1.40 Pro (High-Performance)</t>
  </si>
  <si>
    <t>.xie</t>
  </si>
  <si>
    <t>Hong Kong</t>
  </si>
  <si>
    <t>PAQ 8p1 (2008) -8 A. Morphis &amp; K. Orav</t>
  </si>
  <si>
    <t>worldwide PAQ crew</t>
  </si>
  <si>
    <t>.ppmvc</t>
  </si>
  <si>
    <t>PPM II + VC</t>
  </si>
  <si>
    <t>Pretty Simple Archiver 0.91</t>
  </si>
  <si>
    <t>.psa</t>
  </si>
  <si>
    <t>RKIVE 1.4 (1996) -mtx -mm1 -o+ M. Taylor</t>
  </si>
  <si>
    <t>.rkv</t>
  </si>
  <si>
    <t>ROLZ PPMZ</t>
  </si>
  <si>
    <t>RKUC 1.04 (RKIVE 2.00)</t>
  </si>
  <si>
    <t>PPMZ</t>
  </si>
  <si>
    <t>SIXPACK (Philip G. Gage) (1991)</t>
  </si>
  <si>
    <t>.six</t>
  </si>
  <si>
    <t>LZ+ARI / PPM</t>
  </si>
  <si>
    <t>WinRK 2.0.1 (2004) PWCM 1.3</t>
  </si>
  <si>
    <t>PWCM 800 MB</t>
  </si>
  <si>
    <t>WinRK 3.0.2 (2005) maximum</t>
  </si>
  <si>
    <t>ROLZ-2 + PWCM 700 MB</t>
  </si>
  <si>
    <t>.xpa</t>
  </si>
  <si>
    <t>enc in sec</t>
  </si>
  <si>
    <t>impossible</t>
  </si>
  <si>
    <t>not supported</t>
  </si>
  <si>
    <t>.PLR Libra8 1.0.0.1 (21.07.07) -3 Andrew Polar</t>
  </si>
  <si>
    <t>.CHP v 1.0 Build 0012 (2000) Shinji Chiba</t>
  </si>
  <si>
    <t>.YPC WhyPic 1.2 (05.12.1998) Osamu Yamaji</t>
  </si>
  <si>
    <t>Felics v1.1.1.1  Ian H. Witten, Alistair Moffat &amp; Timothy C. Bell</t>
  </si>
  <si>
    <t>.FTG Format lossless (2000) F&amp;G Labs</t>
  </si>
  <si>
    <t>.GIF GIF89a</t>
  </si>
  <si>
    <t>unknown</t>
  </si>
  <si>
    <t>CCMx 1.30c (24.04.08) C. Martelock</t>
  </si>
  <si>
    <t>DOCUMENTS</t>
  </si>
  <si>
    <t>uses Deflate + DCT</t>
  </si>
  <si>
    <t>ZIP Archive (AceMegaPack)</t>
  </si>
  <si>
    <t>uses Deflate64</t>
  </si>
  <si>
    <t>UHARC 0.6b ('05) -mx -mm+ -md32768</t>
  </si>
  <si>
    <t>Deflopt 2.06 (28.04.06) B.J.Walbeehm</t>
  </si>
  <si>
    <t>uses deflate cmp.</t>
  </si>
  <si>
    <t>MS OFFICE DOCX &amp; XLSX Sheet</t>
  </si>
  <si>
    <t>IMAGE FORMATS (WEB)</t>
  </si>
  <si>
    <t>ISA Compress (output ISA image)</t>
  </si>
  <si>
    <t>PNGOUT (29.10.2006) /s0 /b0</t>
  </si>
  <si>
    <t>OptiPNG 0.5.4-0.6.2 -o7 (15.08.2006)</t>
  </si>
  <si>
    <t>PackJPG 2.0 (16.06.07)</t>
  </si>
  <si>
    <t>JPEGcrop (JPEG-Ari) (1998)</t>
  </si>
  <si>
    <t>INSTALLER PACKAGES</t>
  </si>
  <si>
    <t>uses LZMA cmp.</t>
  </si>
  <si>
    <t>uses ZDATA cmp.</t>
  </si>
  <si>
    <t>SONG FORMATS (WEB)</t>
  </si>
  <si>
    <t>448 kbps VBR</t>
  </si>
  <si>
    <t>Sound Slimmer 1.04.001 (06.07.2005)</t>
  </si>
  <si>
    <t>MP3Packer 1.18 (05.06.07) Reed Wilson -z</t>
  </si>
  <si>
    <t>Sound Slimmer 1.04.001/5 (06.07.2005)</t>
  </si>
  <si>
    <t>VIDEO FORMATS (WEB)</t>
  </si>
  <si>
    <t>http://samples.mplayerhq.hu/HDTV/Van_Helsing.ts</t>
  </si>
  <si>
    <t>http://samples.mplayerhq.hu/Matroska/H264%2bEAC3.mkv</t>
  </si>
  <si>
    <t>MPEG TS [1920x1080, 29.87 fps, 87.00 sec]</t>
  </si>
  <si>
    <t>10.1 Mbps VBR</t>
  </si>
  <si>
    <t>MKV [1280x528, 23.976 fps, 52.18 sec]</t>
  </si>
  <si>
    <t>4952 kbps VBR</t>
  </si>
  <si>
    <t>￭ stream: AC-3, 6ch, 48kHz, 384 kbs</t>
  </si>
  <si>
    <t>￭ stream: E-AC-3, 6ch, 48kHz, 640 kbs</t>
  </si>
  <si>
    <t>￭ stream: MPEG2, 16:9, 9909 kbps</t>
  </si>
  <si>
    <t>￭ stream: H.264 AVC, 2.424, 4107 kps</t>
  </si>
  <si>
    <t>http://www.apple.com/trailers/paramount/startrek/</t>
  </si>
  <si>
    <t>MOV HD [1920x800 29.97 fps, 131.00 sec]</t>
  </si>
  <si>
    <t>MOV [640x480 30 fps, 20.00 sec]</t>
  </si>
  <si>
    <t>2163 kbps CBR</t>
  </si>
  <si>
    <t>￭ stream: AAC, 2ch, 44.1kHz, 96 kbs</t>
  </si>
  <si>
    <t>￭ stream: PCM, 1ch, 7.8kHz, 63 kbs</t>
  </si>
  <si>
    <t>￭ stream: H.264 AVC, 2.400, VBR</t>
  </si>
  <si>
    <t>￭ stream: M-JPEG, 4:3, PAL</t>
  </si>
  <si>
    <t>CCMx 1.30a (24.04.08) C. Martelock</t>
  </si>
  <si>
    <t>ORIGINAL FILE</t>
  </si>
  <si>
    <t>http://www.csl.cornell.edu/~burtscher/research/FPC/datasets.html</t>
  </si>
  <si>
    <t>IEEE 754 64-Bit Double-Precision Floating-Point Dataset</t>
  </si>
  <si>
    <t>￭ obs_temp.trace                       data from a weather satellite denoting how much the observed temperature differs from the actual contiguous analysis temperature field</t>
  </si>
  <si>
    <t>￭ num_brain.trace                  simulation of the velocity field of a human brain during a head impact</t>
  </si>
  <si>
    <t>￭ msg_lu.trace                         NPB computational fluid dynamics pseudo-application lu</t>
  </si>
  <si>
    <t>FPC P. Ratanaworabhan &amp; M. Burtscher</t>
  </si>
  <si>
    <t>Unstructural Hexahedral Meshes I</t>
  </si>
  <si>
    <t>￭ block.hex (Block-structured test mesh. This mesh contains nonmanifold edges)</t>
  </si>
  <si>
    <t>￭ Vertices: 101,401</t>
  </si>
  <si>
    <t>￭ Hexahedra: 93,750</t>
  </si>
  <si>
    <t>HexZip (M. Isenburg &amp; P. Lindstrom)</t>
  </si>
  <si>
    <t>CCMx 1.30a (7)  C. Martelock</t>
  </si>
  <si>
    <t>PAQAR 4</t>
  </si>
  <si>
    <t>Please note that my test includes only programs written for Linux, Dos/Win16/Win9x/Win2k/XP and Vista</t>
  </si>
  <si>
    <t>Records listed here are based only on programs tested so far. There may be compressors that perform better</t>
  </si>
  <si>
    <t>especially those released before the year 2000.</t>
  </si>
  <si>
    <t>YEAR</t>
  </si>
  <si>
    <t>COMPRESSOR</t>
  </si>
  <si>
    <t>AUTHOR</t>
  </si>
  <si>
    <t>DIFF TO LAST YEAR</t>
  </si>
  <si>
    <t>BPB</t>
  </si>
  <si>
    <t>Malcolm Taylor (New Zealand)</t>
  </si>
  <si>
    <t>WinRK Archiver 2.1.6</t>
  </si>
  <si>
    <t>Matthew V. Mahoney (U.S.A.)</t>
  </si>
  <si>
    <t>PAQ 6</t>
  </si>
  <si>
    <t>UHARC 0.4 beta</t>
  </si>
  <si>
    <t>Uwe Herklotz (Germany)</t>
  </si>
  <si>
    <t>UHARC 0.2</t>
  </si>
  <si>
    <t>Urban Compressor</t>
  </si>
  <si>
    <t>Urban Koistinen (Sweden)</t>
  </si>
  <si>
    <t>AR 0.02</t>
  </si>
  <si>
    <t>Haruhiko Okumura (Japan)</t>
  </si>
  <si>
    <t>LZARI</t>
  </si>
  <si>
    <t>SCRNCH 1.02</t>
  </si>
  <si>
    <t>Graeme W. McRae (U.S.A.)</t>
  </si>
  <si>
    <t>ARCA 1.29</t>
  </si>
  <si>
    <t>Wayne Chin &amp; Vernon Buerg</t>
  </si>
  <si>
    <t>SQPC 1.31</t>
  </si>
  <si>
    <t>Richard Greenlaw &amp; Vernon Buerg</t>
  </si>
  <si>
    <t>LZWCOM</t>
  </si>
  <si>
    <t>Kent Williams (unknown country)</t>
  </si>
  <si>
    <r>
      <t>According to Carl Sagan the human D.N.A. contains 5x10</t>
    </r>
    <r>
      <rPr>
        <b/>
        <vertAlign val="superscript"/>
        <sz val="12"/>
        <color indexed="8"/>
        <rFont val="Arial Unicode MS"/>
        <family val="2"/>
      </rPr>
      <t>9</t>
    </r>
    <r>
      <rPr>
        <b/>
        <sz val="12"/>
        <color indexed="8"/>
        <rFont val="Arial Unicode MS"/>
        <family val="2"/>
      </rPr>
      <t xml:space="preserve"> instructions from which the whole human body can be build of.</t>
    </r>
  </si>
  <si>
    <t>Every instruction of our D.N.A. is a simple yes-or-no answer to a specific question (p.ex. hair color). So every instruction</t>
  </si>
  <si>
    <t>is equal to a digital bit and our D.N.A. is an organic archive of 625 MB in size. 625 MB in which the whole detailed, fully</t>
  </si>
  <si>
    <t>featured construction plan of a human being is included..</t>
  </si>
  <si>
    <r>
      <t>And the human brain has 10</t>
    </r>
    <r>
      <rPr>
        <b/>
        <vertAlign val="superscript"/>
        <sz val="12"/>
        <color indexed="8"/>
        <rFont val="Arial Unicode MS"/>
        <family val="2"/>
      </rPr>
      <t>14</t>
    </r>
    <r>
      <rPr>
        <b/>
        <sz val="12"/>
        <color indexed="8"/>
        <rFont val="Arial Unicode MS"/>
        <family val="2"/>
      </rPr>
      <t xml:space="preserve"> connections among the neurons, every of them probably equal to a bit, so that we can say</t>
    </r>
  </si>
  <si>
    <t>our brain can store 12.500 Gigabytes of data. Assuming that a human lives 75 years and knowing that a human sleeps</t>
  </si>
  <si>
    <t>one third of his whole life, we must keep 50 years of continuous audio-visual moments in our mind - also the taste, the</t>
  </si>
  <si>
    <t xml:space="preserve">smell, the touch, all books we read - in short - everything that we've learned. </t>
  </si>
  <si>
    <t>In today's standard compression 12.500 GB of data could be 25.000 hours (1040 days) of MPEG-4 videos or 437.000</t>
  </si>
  <si>
    <t xml:space="preserve">hours of MP4 music, 13 times the complete Library of Alexandria (278 B.C.-48 A.C., 700,000 papyrus-scrolls).. </t>
  </si>
  <si>
    <t xml:space="preserve">But neither is our ear limited to Dolby Suround, </t>
  </si>
  <si>
    <t>nor do we just see in 1024x768 pixel.. Both brain and D.N.A. compression are not explainable until today, but since</t>
  </si>
  <si>
    <t>Noah's task and vision to backup a sample of our world in his well-known Arche, mankind saved objects for future generations -</t>
  </si>
  <si>
    <t xml:space="preserve">mostly books in holy libraries - and still today we carry books, images, paintings, inventions in national archives - which </t>
  </si>
  <si>
    <t>are hidden and well secured rooms, but can also be digitized books from the Gutenberg Project or the Wikipedia.</t>
  </si>
  <si>
    <t>Digital Archiving techniques improve yearly, and maybe one day, we will store our cultural heritage on holographic media,</t>
  </si>
  <si>
    <t>compressed by one of the successors of the father algorithms Lempel-Zif, Huffmann, Burrows-Wheeler or neural variants.</t>
  </si>
  <si>
    <t>7-ZIP 4.66 ultra 128, fb=273, mf= bt4</t>
  </si>
  <si>
    <t>MComp 2.00 (2008) -mf3x 600m (M. Taylor)</t>
  </si>
  <si>
    <t>.ccmx</t>
  </si>
  <si>
    <t>HOOK 1.4 ('09) 912 MB N.F. Antonio</t>
  </si>
  <si>
    <t>the worldwide PAQ crew</t>
  </si>
  <si>
    <t>.zipx</t>
  </si>
  <si>
    <t>CSC3 CountrySideCompressor -9 Fu Siyuan</t>
  </si>
  <si>
    <t>.csc3</t>
  </si>
  <si>
    <t>LZH + SF + BWT + LZMA + PPMd</t>
  </si>
  <si>
    <t>Packet 0.91a ('09) Nania F.Antonio -s9 -m6</t>
  </si>
  <si>
    <t>CSC31 CountrySideCompressor -9 Fu Siyuan</t>
  </si>
  <si>
    <t>.lzp</t>
  </si>
  <si>
    <t>LZP 1.0 (1995-1997) Charles Bloom</t>
  </si>
  <si>
    <t>M03 (2005) 32 MB Michael A. Maniscalco</t>
  </si>
  <si>
    <t>M99 ('07) 128 MB -m Michael A. Maniscalco</t>
  </si>
  <si>
    <t>M99 2.2.1 Michael A. Maniscalco -m 128m</t>
  </si>
  <si>
    <t>M99 ('07) 32 MB -m Michael A. Maniscalco</t>
  </si>
  <si>
    <t>M99 2.2.1 (Michael A. Maniscalco) -m 32m</t>
  </si>
  <si>
    <t>M03 (2005) 8 MB Michael A. Maniscalco</t>
  </si>
  <si>
    <t>M99 (2001) Michael A. Maniscalco</t>
  </si>
  <si>
    <t>LZP 3.0 (1995-1997) Charles Bloom</t>
  </si>
  <si>
    <t>.zhuff</t>
  </si>
  <si>
    <t>LZSS (LZ4) + Huff0</t>
  </si>
  <si>
    <t>ECP 0.e.s. (2000) -b127 Michael Semikov</t>
  </si>
  <si>
    <t>.ecp</t>
  </si>
  <si>
    <t>RLE + BWT + MTF + HUF</t>
  </si>
  <si>
    <t>.bred</t>
  </si>
  <si>
    <t>LZP + BWT + MTF + ARI</t>
  </si>
  <si>
    <t>BRED 3.0 (1997) -M16 -m729 David Wheeler</t>
  </si>
  <si>
    <t>ULZ 0.2 (2010) c3 (normal) Ilia Muraviev</t>
  </si>
  <si>
    <t>.ulz</t>
  </si>
  <si>
    <t>.etincelle</t>
  </si>
  <si>
    <t>ROLZ + Huff</t>
  </si>
  <si>
    <t>ULZ 0.2 (2010) c6 (best) Ilia Muraviev</t>
  </si>
  <si>
    <t>.bsc</t>
  </si>
  <si>
    <t>Etincelle RC2 ('10) Yann Collet</t>
  </si>
  <si>
    <t>.yzx</t>
  </si>
  <si>
    <t>LZKS</t>
  </si>
  <si>
    <t>�</t>
  </si>
  <si>
    <t>France &amp; USA</t>
  </si>
  <si>
    <t>PIGZ 2.1.6 (-9) ('10) J.L. Gailly &amp; M. Adler</t>
  </si>
  <si>
    <t>Parallel BWT, 900kb blocks</t>
  </si>
  <si>
    <t>WinRK 3.1.2 (best asymmetic ROLZ-3) Malcolm Taylor</t>
  </si>
  <si>
    <t>no converter</t>
  </si>
  <si>
    <t>.DNG/lossless-JPEG</t>
  </si>
  <si>
    <t>.TVC NK (26.11.1999) Tomsk State University (input=bmp)</t>
  </si>
  <si>
    <t>.SLP Switched Linear Prediction v2a Shinji Wakasugi</t>
  </si>
  <si>
    <t>.MRP Minimum Rate Predictors v0.5 -o -I 12 Ichiro Matsuda</t>
  </si>
  <si>
    <t>eRLE + DIC</t>
  </si>
  <si>
    <t>.prnrw</t>
  </si>
  <si>
    <t>.IMP IMPLODE (EPIC 24 v0.1b) (25.3.2004) Kevin Peirce (input=bmp)</t>
  </si>
  <si>
    <t>.ISA Compress (27.02.2004) Nils Haeck (input=bmp)</t>
  </si>
  <si>
    <t>.VCG (VcgCreator 1.1) (2001) L. Vinoth Kumar (input=bmp)</t>
  </si>
  <si>
    <t>.lzham</t>
  </si>
  <si>
    <t>Russia &amp; United States</t>
  </si>
  <si>
    <t>OCA_MPEG 0.6 level 12 (P.Skibinski)</t>
  </si>
  <si>
    <t>BCM 0.12 (2010) -b100 Ilia Muraviev</t>
  </si>
  <si>
    <t>Squeez 5.1 - 5.63 (32MB ultra) auto</t>
  </si>
  <si>
    <t>.mzp</t>
  </si>
  <si>
    <t>LZMA variant</t>
  </si>
  <si>
    <t>Power Archiver 2010 11.70.66  7z opt.ultra solid</t>
  </si>
  <si>
    <t>Reasonable Archiver 1.1.0.8</t>
  </si>
  <si>
    <t>.sen</t>
  </si>
  <si>
    <t>Scifer beta 2008 -Text ( Senthil Kumar R.)</t>
  </si>
  <si>
    <t>PPM-II (o16, m1600)</t>
  </si>
  <si>
    <t>LZMA:128; PPMD:1536 o10</t>
  </si>
  <si>
    <t>The JPEG reducer</t>
  </si>
  <si>
    <t>EXIFIRON -b (24.02.2006) Marko Mäkelä</t>
  </si>
  <si>
    <t>BetterJPEG 2.0.0.9</t>
  </si>
  <si>
    <t>.xp</t>
  </si>
  <si>
    <t>ROLZ</t>
  </si>
  <si>
    <t>.egg</t>
  </si>
  <si>
    <t>LZMA ?</t>
  </si>
  <si>
    <t>ALZIP 8.12 .EGG solid, p. on ratio ESTSOFT</t>
  </si>
  <si>
    <t>.lz4</t>
  </si>
  <si>
    <t>LZ4HC 0.9 (2010) Yann Collet</t>
  </si>
  <si>
    <t>Deflate 64, word size=257 ultra (7z 9.20)</t>
  </si>
  <si>
    <t>LZMA 9.20</t>
  </si>
  <si>
    <t>.lzma</t>
  </si>
  <si>
    <t>LZMA SDK 9.20 (2010) -d27 -fb273 I. Pavlov</t>
  </si>
  <si>
    <t>LZMA with better entropy coding</t>
  </si>
  <si>
    <t>LZMA SDK 9.20 + LZMAREC E. Shelwien</t>
  </si>
  <si>
    <t>QPRESS 1.1 -rL3T12 (2011) Lasse Reinhold</t>
  </si>
  <si>
    <t>.qp</t>
  </si>
  <si>
    <t>.irolz</t>
  </si>
  <si>
    <t xml:space="preserve">LZHAM α6 -m4 -d29 -t11 -e -x R. Geldreich, Jr. </t>
  </si>
  <si>
    <t>PPMX 0.07 (2011) Ilia Muraviev</t>
  </si>
  <si>
    <t>order-5 PPM</t>
  </si>
  <si>
    <t>Russia + Germany</t>
  </si>
  <si>
    <t>LZ4 0.9 (2011) Yann Collet</t>
  </si>
  <si>
    <t>CSC 3.2 final (2011) -m3 -d512 Fu Siyuan</t>
  </si>
  <si>
    <t>GraLIC 1.11 demo (30.07.11) A. Ratushnyak, Graystone CT Inc.</t>
  </si>
  <si>
    <t>.LSP S+P 3.0.1 (30.08.96) Amir Said &amp; W.A. Pearlman (lossless) (input=RAS)</t>
  </si>
  <si>
    <t>BCIF 1.0β (08.12.2010) Stefano Brocchi) (input=bmp)</t>
  </si>
  <si>
    <t>.PNG PNGWOLF (08.04.2011) Björn Höhrmann</t>
  </si>
  <si>
    <t>JPEGmini (web service) (31.08.2011)</t>
  </si>
  <si>
    <t>.kz</t>
  </si>
  <si>
    <t>LZMA (?)</t>
  </si>
  <si>
    <t>KuaiZip 2.3.2 (2011) best solid</t>
  </si>
  <si>
    <t>LZSS + ARI</t>
  </si>
  <si>
    <t>LZSR 0.01 (2011) Nania Francesco Antonio</t>
  </si>
  <si>
    <t>.lzsr</t>
  </si>
  <si>
    <t>LZP-LZ77 + SR</t>
  </si>
  <si>
    <t>LZMA + PPMd + GRZip + TTA + dispack</t>
  </si>
  <si>
    <t>.cox</t>
  </si>
  <si>
    <t>COMPROX 0.1.1  (10.2011) Zhang Li opt.9</t>
  </si>
  <si>
    <t>.lzmat</t>
  </si>
  <si>
    <t>LZMAT 0.51 Vitaly Evseenko</t>
  </si>
  <si>
    <t>FLIC 2.1 x64 (16.11.11) Alexander Ratushnyak</t>
  </si>
  <si>
    <t>.zcm</t>
  </si>
  <si>
    <t>PreComp 0.4.2 Christian Schneider</t>
  </si>
  <si>
    <t>lzw/zlib/jpeg recompressor + bzip2</t>
  </si>
  <si>
    <t>REFLATE 0c1 (2012) Eugene Shelwien</t>
  </si>
  <si>
    <t>.ref</t>
  </si>
  <si>
    <t>zlib/jpeg recompressor + lzma</t>
  </si>
  <si>
    <t>uses Deflate cmp.</t>
  </si>
  <si>
    <t>YZX 0.11 (2012) -r -s -m9 -b8 -h5 N.F. Antonio</t>
  </si>
  <si>
    <t>COMPROX 0.2.0 (2011) Zhang Li opt.9</t>
  </si>
  <si>
    <t>FreeARC 0.67 (2012) ultra Bulat Zigashin</t>
  </si>
  <si>
    <t>PackJPG 2.5a (17.12.12) Matthias Stirner</t>
  </si>
  <si>
    <t>LZMA+PPMd+GRZip+TTA+exp+PreComp</t>
  </si>
  <si>
    <t>BSC 3.1.0 -b1024rsca -m0 -H28 -M255 I. Grebnov</t>
  </si>
  <si>
    <t>.pja</t>
  </si>
  <si>
    <t>.fbc</t>
  </si>
  <si>
    <t>FBC 1.0 300MB blocksize David Catt</t>
  </si>
  <si>
    <t>Canada + Russia</t>
  </si>
  <si>
    <t>BWT (DifSufSort Lite) + Ari</t>
  </si>
  <si>
    <t>CROOK 0.1 -m1600 -O7 Juri Valdmann</t>
  </si>
  <si>
    <t>.crook</t>
  </si>
  <si>
    <t>bit-level PPM</t>
  </si>
  <si>
    <t>Estonia</t>
  </si>
  <si>
    <t>packARC 0.2a (2012) Matthias Stirner</t>
  </si>
  <si>
    <t>.PPN PackPNM 1.4d (08.03.12) Matthias Stirner (input=PPM)</t>
  </si>
  <si>
    <t>.RWZ RAWZOR 0.47 (lossless) Sachin Garg 2010 (.RAF as source)</t>
  </si>
  <si>
    <t>.LJP JPEG LossLess (EPIC24, auto-selection of best predictor)</t>
  </si>
  <si>
    <t>.arlz4</t>
  </si>
  <si>
    <t>LZ4 1.3 -c2 (2012) Yann Collet</t>
  </si>
  <si>
    <t>MP3 [free public-domain corpus]</t>
  </si>
  <si>
    <t>JPG-2-DCT (decompress Huffman)</t>
  </si>
  <si>
    <t>uses ZLIB cmp.</t>
  </si>
  <si>
    <t>various VBR rates</t>
  </si>
  <si>
    <t>packMP3 1.0 (2012) Matthias Stirner</t>
  </si>
  <si>
    <t>MP3Packer 1.25 -z (2012) R. Wilson</t>
  </si>
  <si>
    <t>http://www.squeezechart.com/mp3corpus.7z</t>
  </si>
  <si>
    <t>uses LZW cmp.</t>
  </si>
  <si>
    <t>uses LZ77 cmp.</t>
  </si>
  <si>
    <t>AC3 [347 sec 5ch 48 kHz]</t>
  </si>
  <si>
    <t>http://www.squeezechart.com/mjpeg.mov</t>
  </si>
  <si>
    <t>uses base64</t>
  </si>
  <si>
    <t>E-Mail message</t>
  </si>
  <si>
    <t>MHT web archive</t>
  </si>
  <si>
    <t>http://www.squeezechart.com/a55.flv</t>
  </si>
  <si>
    <t>￭ stream: MPEG AAC, 2ch, 44.1 kHz 110 kbs</t>
  </si>
  <si>
    <t>FLV [854x480, 23.976 fps, 92.0 sec]</t>
  </si>
  <si>
    <t>1312 kbps VBR</t>
  </si>
  <si>
    <t>￭ stream: H.264 AVC, 16:9, 1201 kps</t>
  </si>
  <si>
    <t>http://www.diatonis.com/downloads/diatonis_ac3_48k_soal.zip</t>
  </si>
  <si>
    <t>http://www.squeezechart.com/tech.mht</t>
  </si>
  <si>
    <t>SWF Games</t>
  </si>
  <si>
    <t>http://www.miniclip.com</t>
  </si>
  <si>
    <t>http://www.squeezechart.com/flumy.png</t>
  </si>
  <si>
    <t>http://www.squeezechart.com/filou.gif</t>
  </si>
  <si>
    <t>uses DCT cmp.</t>
  </si>
  <si>
    <t>GIF [cat1] 256 color Natural</t>
  </si>
  <si>
    <t>PNG [cat2] 24 Bit Natural</t>
  </si>
  <si>
    <t>http://www.squeezechart.com/flyer.msg</t>
  </si>
  <si>
    <t>http://www.diatonis.com/downloads/diatonis_currents_44_51.wma</t>
  </si>
  <si>
    <t>WMA [08:58:000 6ch 44.1 kHz]</t>
  </si>
  <si>
    <t>256 kbps CBR</t>
  </si>
  <si>
    <t>SuperGif 1.5 www.boxtopsoft.com</t>
  </si>
  <si>
    <t>PDF [v1.3, 58 pages]</t>
  </si>
  <si>
    <t>http://dl.maximumpc.com/Archives/MPC_2011_11-web.pdf</t>
  </si>
  <si>
    <t>InstallAware Setup Squeezer</t>
  </si>
  <si>
    <t>http://de.download.nvidia.com/Windows/295.73/295.73-notebook-win7-winvista-64bit-international-whql.exe</t>
  </si>
  <si>
    <t>ORIGINAL FILE (downloaded installer)</t>
  </si>
  <si>
    <t>http://www2.ati.com/drivers/linux/amd-driver-installer-12-2-x86.x86_64.run</t>
  </si>
  <si>
    <t>RUN Linux Installer [AMD Catalyst 12.2]</t>
  </si>
  <si>
    <t>no need</t>
  </si>
  <si>
    <t>http://sourceforge.net/projects/stellarium/files/Stellarium-win32/0.11.2/</t>
  </si>
  <si>
    <t>http://rawtherapee.com/releases_head/windows/RawTherapee_WinVista_64_4.0.7.1.zip</t>
  </si>
  <si>
    <t>MSI Installer</t>
  </si>
  <si>
    <t>Inno Setup Installer [version 5.4.3]</t>
  </si>
  <si>
    <t>http://archive.org/download/uso20080202/uso20080202-03-smetana-vltava.wav</t>
  </si>
  <si>
    <t>500 kbps VBR</t>
  </si>
  <si>
    <t>OGG [12:35 2ch 44.1 kHz]</t>
  </si>
  <si>
    <t>INTERNET</t>
  </si>
  <si>
    <t>JPEG [mill 3264x4912x24 Bit]</t>
  </si>
  <si>
    <t>http://www.squeezechart.com/mill.jpg</t>
  </si>
  <si>
    <t>JPEGcrop (Ari Progessive) (1998-2010)</t>
  </si>
  <si>
    <t>JPEGcrop (Huff.Opt. Progessive) (1998-2010)</t>
  </si>
  <si>
    <t>PackJPG 1.9 (20.04.2007) M. Stirner</t>
  </si>
  <si>
    <t>PackJPG 2.4 (20.04.2010) M. Stirner</t>
  </si>
  <si>
    <t>PackJPG 2.5a (17.12.2012) M. Stirner</t>
  </si>
  <si>
    <t>http://stardock.com/products/windowblinds/downloads.asp</t>
  </si>
  <si>
    <t>WISE Installer [WindowBlinds7_public.exe]</t>
  </si>
  <si>
    <t>.mt</t>
  </si>
  <si>
    <t>MTCompressor64 1.0 David Catt</t>
  </si>
  <si>
    <t>WSL 0.01 -b16384d64l50 Sergeo Sizikov</t>
  </si>
  <si>
    <t>.wsl</t>
  </si>
  <si>
    <t>M03 1.1 blocksize 1GB M.A. Maniscalco</t>
  </si>
  <si>
    <t>PreComp 0.4.3 dev Christian Schneider</t>
  </si>
  <si>
    <t>APP</t>
  </si>
  <si>
    <t>XML</t>
  </si>
  <si>
    <t>PPMonstr ver J (06) -o16 -m800 D. Shkarin</t>
  </si>
  <si>
    <t>M03 0.2 α (2009) 250 MB M.A. Maniscalco</t>
  </si>
  <si>
    <t>7-ZIP 4.66 ultra 64, fb=273, mf=bt4</t>
  </si>
  <si>
    <t>7-ZIP 4.66 ultra 32, fb=273, mf=bt4</t>
  </si>
  <si>
    <t>BMA 1.35 -m64m -mx -ax A. Cherenkov</t>
  </si>
  <si>
    <t>PPMd Jr1 sh8 -o16 -m1600 -c E. Shelwien</t>
  </si>
  <si>
    <t>7-ZIP 4.66 ultra 16, fb=273, mf=bt4</t>
  </si>
  <si>
    <t>BMA 1.33 -m16m -mx -a (2006) A. Cherenkov</t>
  </si>
  <si>
    <t>GRZIP-II 0.2.4 -b8m -l -m4 Ilya Grebnov</t>
  </si>
  <si>
    <t>Packet 0.90β (Nania F. Antonio) -m4 -s9</t>
  </si>
  <si>
    <t>aPackage 1.14 ('02) Jørgen Ibsen</t>
  </si>
  <si>
    <t>Packer 4.0β (2010) Piotr Rydz</t>
  </si>
  <si>
    <t>PPMVC 1.1 (2006) -m256 -o16</t>
  </si>
  <si>
    <t>LZH (LHMelt 1.39-1.65c 32kb -jmA) (2012)</t>
  </si>
  <si>
    <t>ALZIP 8.5 .EGG optimized ESTSOFT</t>
  </si>
  <si>
    <t>Deflate, word size=64, max (7z 9.25)</t>
  </si>
  <si>
    <t>XP v5 c2 (2010) ppmcontext</t>
  </si>
  <si>
    <t>BZIP2 1.06 (2010) --best Julian Seward</t>
  </si>
  <si>
    <t>12Ghosts 7.0 - 9.7 (ZIP2)</t>
  </si>
  <si>
    <t>HSTEST option -F (1990) Tom Ehlert</t>
  </si>
  <si>
    <t>filter + LZ + PPM (ROLZ)</t>
  </si>
  <si>
    <t>RZIP 2.1 -9 -L9 (2006) Andrew Tridgell</t>
  </si>
  <si>
    <t>QLFC 6.6w (blocksize 200 MB) Florin Ghido</t>
  </si>
  <si>
    <t>Durilca'light 0.5 Dmitry Shkarin -m800 -o32</t>
  </si>
  <si>
    <t>BEE 0.7.9 -m3 -d9 A.Filinsky &amp; M.Caruso</t>
  </si>
  <si>
    <t>RINGS 1.6 opt. 10 ('08) Nania F. Antonio</t>
  </si>
  <si>
    <t>WinRK 3.1.2 (fastest) Malcolm Taylor</t>
  </si>
  <si>
    <t>not extractable</t>
  </si>
  <si>
    <t>STUFFIT 11.0.0.34 (sitx) (SmithMicro)</t>
  </si>
  <si>
    <t>BWT + filterCM</t>
  </si>
  <si>
    <t>SLIM 0.23d (2004) -o16 -m800 S. Voskoboynikov</t>
  </si>
  <si>
    <t>FCM + filter</t>
  </si>
  <si>
    <t>BWT + LZT + filter</t>
  </si>
  <si>
    <t>PPM-II + filter</t>
  </si>
  <si>
    <t>LZHDS_parallel_extra + filter</t>
  </si>
  <si>
    <t>BWT + ARI + PPM-II + filter</t>
  </si>
  <si>
    <t>ROLZ + PPMZ + filters</t>
  </si>
  <si>
    <t>LZP + BWT + filter</t>
  </si>
  <si>
    <t>BWT + DCE + filter</t>
  </si>
  <si>
    <t>LZ77 + ARI + filters</t>
  </si>
  <si>
    <t>LZHDS + filter</t>
  </si>
  <si>
    <t>WinAce 2.5 - 2.69 Final max solid + filters</t>
  </si>
  <si>
    <t>PPM + filters</t>
  </si>
  <si>
    <t>PPMd + filter</t>
  </si>
  <si>
    <t>ADMC + filter</t>
  </si>
  <si>
    <t>BWT + filter</t>
  </si>
  <si>
    <t>LZ + filters</t>
  </si>
  <si>
    <t>LZ77 + ARI + filter</t>
  </si>
  <si>
    <t>BWT, LZ + ARI, PPM + filter</t>
  </si>
  <si>
    <t>LZP + DMC + filter</t>
  </si>
  <si>
    <t>Symbol Ranking + filters</t>
  </si>
  <si>
    <t>LZ + ARI + filters</t>
  </si>
  <si>
    <t>WinRK 3.1.2 (ROLZ-3 650 MB) M. Taylor</t>
  </si>
  <si>
    <t>WinRK 3.1.2 (ROLZ-2 450 MB)</t>
  </si>
  <si>
    <t>Precomp 0.4.3 + FreeARC 0.67 ultra +exp B. Ziganshin</t>
  </si>
  <si>
    <t>NanoZip 0.08 ('10) Sami Runsas -cDp:2GB</t>
  </si>
  <si>
    <t>* 8 GB RAM (DDR-3 @ 1600 MHz), SSD (SATA-3)</t>
  </si>
  <si>
    <t>* Intel Core i7 (Sandy Bridge)</t>
  </si>
  <si>
    <t>a free open-sourced 3D Racing game for windows called "TORCS"</t>
  </si>
  <si>
    <t>a free open-sourced office suite called "Libre Office" as portable variant</t>
  </si>
  <si>
    <t>http://sourceforge.net/projects/torcs/files/torcs-win32-bin/1.3.0/</t>
  </si>
  <si>
    <t>http://portableapps.com/apps/office/libreoffice_portable/</t>
  </si>
  <si>
    <t>a textfile that contains parts of human genomes, from the Project Gutenberg DVD 2003 08</t>
  </si>
  <si>
    <t>ftp://ftp.ibiblio.org/pub/docs/books/gutenberg/1/1/2/2/11220/PG2003-08.ISO</t>
  </si>
  <si>
    <t>all contents from the Project Gutenberg ISO</t>
  </si>
  <si>
    <t>This test set indicates an archiver's skill to serve as lossless backup solution for data from mobile devices.</t>
  </si>
  <si>
    <t>a collection of public domain open office documents and MHT, PDF</t>
  </si>
  <si>
    <t>PGM / PPM</t>
  </si>
  <si>
    <t>a collection (8 Bit PGM and 24 Bit PPM) of public domain images provided by Sachin Garg.</t>
  </si>
  <si>
    <t>a collection of public domain savegames</t>
  </si>
  <si>
    <t>http://dumps.wikimedia.org/backup-index.html</t>
  </si>
  <si>
    <t>the first 100 MB of wikipedia dumps in 10 languages (arabic, german, english, spanish, french, hindu, portuguese, russian, turkish, chinese)</t>
  </si>
  <si>
    <t>a collection of free sourcecodes such as those from 7-Zip 4.42, GIMP 2.3.1, Lazarus 0.9.20, Stellarium 0.8.2 and more.</t>
  </si>
  <si>
    <t>https://rapidshare.com/files/1152584718/dna.7z</t>
  </si>
  <si>
    <t>https://rapidshare.com/files/3006474738/mobile.7z</t>
  </si>
  <si>
    <t>https://rapidshare.com/files/4153990117/installer.7z</t>
  </si>
  <si>
    <t>https://rapidshare.com/files/3034997851/sav.7z</t>
  </si>
  <si>
    <t>https://rapidshare.com/files/2711329401/sources.7z</t>
  </si>
  <si>
    <t>https://rapidshare.com/files/990362294/xml.7z</t>
  </si>
  <si>
    <t>PAQ8jc</t>
  </si>
  <si>
    <t>PPMonstr ver. I</t>
  </si>
  <si>
    <t>DmitryShkarin (Russia)</t>
  </si>
  <si>
    <t>UC II r3 Pro ('95) stst Nico De Vries</t>
  </si>
  <si>
    <t>.asd</t>
  </si>
  <si>
    <t>ARJZ 0.15 -m9 -md26624 -mf16382</t>
  </si>
  <si>
    <t>HA 0.999b (1995) a21r Harri Hirvola</t>
  </si>
  <si>
    <t>SBX 1.4 SpinnerBaker Software</t>
  </si>
  <si>
    <t>.sb</t>
  </si>
  <si>
    <t>ARX 1.0 Michael A. Kosior</t>
  </si>
  <si>
    <t>.arx</t>
  </si>
  <si>
    <t>BWC 0.99d Willem Monsuwe</t>
  </si>
  <si>
    <t>LZ77 (?)</t>
  </si>
  <si>
    <t>England</t>
  </si>
  <si>
    <t>CrossePAC 1.35 (1994)</t>
  </si>
  <si>
    <t>.pac</t>
  </si>
  <si>
    <t>CAR 1.50 (1996) Chris Campbell</t>
  </si>
  <si>
    <t>.dwc</t>
  </si>
  <si>
    <t>ASD 0.2.0 -m5 -mdh (1998) T. Svensson</t>
  </si>
  <si>
    <t>DWC 5.10 opt. az (1990) Dean W. Cooper</t>
  </si>
  <si>
    <t>.jrc</t>
  </si>
  <si>
    <t>Jrchive 1.10 (1992) JAYAR Systems</t>
  </si>
  <si>
    <t xml:space="preserve">AMIGA ShrinkIt / NULIB (LZW/2) </t>
  </si>
  <si>
    <t>AMIGA ShrinkIt / NULIB (LZW/1)</t>
  </si>
  <si>
    <t>AMIGA ShrinkIt / NULIB (Squeeze)</t>
  </si>
  <si>
    <t>AMIGA ShrinkIt / NULIB (16 Bit LZC)</t>
  </si>
  <si>
    <t>LZMA2:128 / PPMd:1536 o10 / delta:4</t>
  </si>
  <si>
    <t>PPM 50 MB + LZ + ARI 291 MB</t>
  </si>
  <si>
    <t>http://ftp.sac.sk/sac/pack/</t>
  </si>
  <si>
    <t>ftp://ftp.sac.sk/pub/sac/pack</t>
  </si>
  <si>
    <t>LZMA2:128 / PPMd:2048 o13 / delta:3</t>
  </si>
  <si>
    <t>PAQ8o8 PRE</t>
  </si>
  <si>
    <t>the worldwide PAQ crew &amp; Christian Schneider</t>
  </si>
  <si>
    <t>‣ contains 75 MB .RGB images (RLE-encoded bitmap-like raster images)</t>
  </si>
  <si>
    <t>‣ contains .JAVA &amp; .ZIP archives and .WAV sounds</t>
  </si>
  <si>
    <t>‣ 40% of this testset are .JPEG &amp; .PNG images</t>
  </si>
  <si>
    <t>‣ contains Base64-encoded MHT to simulate e-mail contents.</t>
  </si>
  <si>
    <t>a collection of public domain .JPEG, .MP3, .MP4, .MTS including some .JAR from sourceforge.net and .EPUB from http://gutenberg.org</t>
  </si>
  <si>
    <t>‣ contains ZLIB compressed files.</t>
  </si>
  <si>
    <t>‣ contains some .PNG image files.</t>
  </si>
  <si>
    <t>ZCM 0.20b -m7 -r -s (2012) N.F. Antonio</t>
  </si>
  <si>
    <t>LZAP 0.20.0 beta (1998) Mike Goldman</t>
  </si>
  <si>
    <r>
      <t xml:space="preserve">"The time will come when diligent research over long periods will bring to light things which now lie hidden. A single lifetime, even though entirely devoted to the sky, would not be enough for the investigation of so vast a subject . . .And so this knowledge will be unfolded only through long successive ages. There will come a time when our descendants will be amazed that we did not know things that are so plain to them . . . Many discoveries are reserved for ages still to come, when memory of us will have been effaced. Our universe is a sorry little affair unless it has in it something for every age to investigate . . . Nature does not reveal her mysteries once and for all." </t>
    </r>
    <r>
      <rPr>
        <b/>
        <i/>
        <sz val="10"/>
        <rFont val="Arial Unicode MS"/>
        <family val="2"/>
      </rPr>
      <t>Seneca, Naturales Questiones, 100 A.C.</t>
    </r>
  </si>
  <si>
    <t>TAR is used when the program cannot compress all files of a testset in a single archive</t>
  </si>
  <si>
    <t>or when recurse through subdirectories does not work properly.</t>
  </si>
  <si>
    <t>ENC 0.15 a -g (2002) Serge Osnach</t>
  </si>
  <si>
    <t>PPM / Predictive Arithmetic Coding</t>
  </si>
  <si>
    <t>LGHA  1.1g /c30000 /l16383 George Lyapko</t>
  </si>
  <si>
    <t>Huffman / LZS / LZW</t>
  </si>
  <si>
    <t>MAR 1.0 -e:-ah0- (1994) Haruhiko Okumura</t>
  </si>
  <si>
    <t>LZS</t>
  </si>
  <si>
    <t>LZSDEMO 3.1 (1998) Stac Electronics</t>
  </si>
  <si>
    <t>oPAQue 1.0 (1999) Dmitry Dvoinikov</t>
  </si>
  <si>
    <t>.paq</t>
  </si>
  <si>
    <t>PPMZ 9.1 -b (1998) Charles Bloom</t>
  </si>
  <si>
    <t>.pmz</t>
  </si>
  <si>
    <t>.rax</t>
  </si>
  <si>
    <t>RAX 1.02 -max (1998) GeCAD</t>
  </si>
  <si>
    <t>LZ77 + Huffman</t>
  </si>
  <si>
    <t>LZ77 + Huffman/ PPMC order-4</t>
  </si>
  <si>
    <t>ZHuffman0.8 (2011) Yann Collet</t>
  </si>
  <si>
    <t>LZ77 + Huffman/ RLE</t>
  </si>
  <si>
    <t>LZSS + Huffman</t>
  </si>
  <si>
    <t>JARCS 0.94 -C4 -S Junichi Uekawa</t>
  </si>
  <si>
    <t>REDUQ 1.2 (2001) Jacco Mintjes</t>
  </si>
  <si>
    <t>.rdq</t>
  </si>
  <si>
    <t>PPMZ2 0.81 -l9 (2004) Charles Bloom</t>
  </si>
  <si>
    <t>.sz</t>
  </si>
  <si>
    <t>Austria</t>
  </si>
  <si>
    <t>BWT (ST6)</t>
  </si>
  <si>
    <t>SZIP 1.12a -b41 -o10 Michael Schindler</t>
  </si>
  <si>
    <t>Reiterative DMC</t>
  </si>
  <si>
    <t>.rdm</t>
  </si>
  <si>
    <t>RDMC 0.06b (2001) Jaime Tejedor Gómez</t>
  </si>
  <si>
    <t>SZIP 1.12a -b41 -o50 Michael Schindler</t>
  </si>
  <si>
    <t>.one</t>
  </si>
  <si>
    <t>LZ + Huffman + filter</t>
  </si>
  <si>
    <t>.sar</t>
  </si>
  <si>
    <t>SAR 1.0 (1993) Streamline Design</t>
  </si>
  <si>
    <t>SQUISH 1.0 (1992) Mike Albert</t>
  </si>
  <si>
    <t>.squ</t>
  </si>
  <si>
    <t>.to4</t>
  </si>
  <si>
    <t xml:space="preserve">TOP4 1.03 Tobias Svensson </t>
  </si>
  <si>
    <t>LZSS + Huffman + RLE</t>
  </si>
  <si>
    <t>LZ + Huffman + ARI + MARKOV</t>
  </si>
  <si>
    <t>SEMONE 0.6b2 -mb/mm3 Vladimir Semenyuk</t>
  </si>
  <si>
    <t>WinZip 16.5.10095 .ZIPX (2012) Corel</t>
  </si>
  <si>
    <t>WinZip 12.0.8252 optimize best (2008)</t>
  </si>
  <si>
    <t>WinZip 11.0 - 11.1 optimize best (2006)</t>
  </si>
  <si>
    <t>WinZip 16.0.9715 PPMd (2012) Corel</t>
  </si>
  <si>
    <t>WinZip 16.0.9715 bzip2 (2012) Corel</t>
  </si>
  <si>
    <t>WinZip 16.0.9715 legacy 2.0 deflate (2011)</t>
  </si>
  <si>
    <t>WinZip 16.0.9715 enhanced deflate (2011)</t>
  </si>
  <si>
    <t>Predictive Arithmetic Coding</t>
  </si>
  <si>
    <t>XPA32 File Archiver 1.0.2 Jauming Tseng</t>
  </si>
  <si>
    <t>.sky</t>
  </si>
  <si>
    <t>SKY 1.15 -m4 (1997) Jean-Michel Herve</t>
  </si>
  <si>
    <t>B1 Free Archiver 0.40.678 (2012)</t>
  </si>
  <si>
    <t>.b1</t>
  </si>
  <si>
    <t>.tt</t>
  </si>
  <si>
    <t>TTCOMP (1993) SWFTE International Ltd.</t>
  </si>
  <si>
    <t>ARJ 2.x - 3.x  -m1 -r Robert K. Jung</t>
  </si>
  <si>
    <t>ABComp 2.06 (2000) Avinesh Bangar</t>
  </si>
  <si>
    <t>.abp</t>
  </si>
  <si>
    <t>.tar</t>
  </si>
  <si>
    <t>none</t>
  </si>
  <si>
    <t>AMG 2.3 max Milen Georgiev &amp; Dirk Paehl</t>
  </si>
  <si>
    <t>Bulgaria &amp; Germany</t>
  </si>
  <si>
    <t>Context Mixing</t>
  </si>
  <si>
    <t>Fast Context Mixing</t>
  </si>
  <si>
    <t>Context Mixing + filter</t>
  </si>
  <si>
    <t>Context Mixing + E8E9</t>
  </si>
  <si>
    <t>LZP + Context Mixing</t>
  </si>
  <si>
    <t>Context Mixing + Range Coder</t>
  </si>
  <si>
    <t>ROLZ + ARI</t>
  </si>
  <si>
    <t>ARG 1.00.001 beta (1994) Igor Pavlov</t>
  </si>
  <si>
    <t>.arg</t>
  </si>
  <si>
    <t>Static Huffman</t>
  </si>
  <si>
    <t>WinRar 4.11 solid best auto filter E. Roshal</t>
  </si>
  <si>
    <t>PPM-II o9-128M + filter</t>
  </si>
  <si>
    <t>LZ77 + Huffman + PPM-II o9-128M</t>
  </si>
  <si>
    <t>LZ77 + Huffman + filter</t>
  </si>
  <si>
    <t>Huffman + BWT + MFT + RLE</t>
  </si>
  <si>
    <t>LZX + Huffman + Shannon-Fano</t>
  </si>
  <si>
    <t>LZ + Huffman + SF + BWT</t>
  </si>
  <si>
    <t>LZ77 + Huffman + PPM-II o9-128M + filter</t>
  </si>
  <si>
    <t>LZ77 + BW5 + PPMZ</t>
  </si>
  <si>
    <t>CCMx 1.30c opt. 7 Christian Martelock</t>
  </si>
  <si>
    <t>BTSPK 3.60b β1 (1998) Joszef Hidasi</t>
  </si>
  <si>
    <t>.bts</t>
  </si>
  <si>
    <t>GRZip 0.7.3 -8m -a -i -s (2003) Ilya Grebnov</t>
  </si>
  <si>
    <t>LZP + BWT/ST + MTF/WFC + filter</t>
  </si>
  <si>
    <t>SLIM 1.10 opt. 9 (1991) Dominic Herity</t>
  </si>
  <si>
    <t>MNZIP (2009) Michael Niedermayer</t>
  </si>
  <si>
    <t>BWT + QLFC + ARI</t>
  </si>
  <si>
    <t>Ireland</t>
  </si>
  <si>
    <t>.mn</t>
  </si>
  <si>
    <t>STUFFIT API (2010) (sitx) all filters</t>
  </si>
  <si>
    <t>STUFFIT API 2.0.672.3563 (sitx) all filters</t>
  </si>
  <si>
    <t>LZARI 2,25,5,+ / BWT 11,30,2,1,+</t>
  </si>
  <si>
    <t>LZARI 2,25,2,+ / BWT 11,30,2,1,+</t>
  </si>
  <si>
    <t>Zhuffman 0.5 (2011) Yann Collet</t>
  </si>
  <si>
    <t>CCM 1.30c opt. 7 (2008) Chr. Martelock</t>
  </si>
  <si>
    <t>.ccm</t>
  </si>
  <si>
    <t>BBB 1.0 cm100 (2006) Matt Mahoney</t>
  </si>
  <si>
    <t>.bbb</t>
  </si>
  <si>
    <t>Free Zip Archiver 2.0.1.2 max Hamstersoft</t>
  </si>
  <si>
    <t>LZMA + filter</t>
  </si>
  <si>
    <t>InstallShield content [ForceWare 295.73]</t>
  </si>
  <si>
    <t>NanoZip 0.09  -cc -m2g ('11) Sami Runsas</t>
  </si>
  <si>
    <t>NanoZip 0.08  -cc -m2g ('10) Sami Runsas</t>
  </si>
  <si>
    <t>NanoZip 0.08 -cO -m2g ('10) Sami Runsas</t>
  </si>
  <si>
    <t>NanoZip 0.08 -co -m2g ('10) Sami Runsas</t>
  </si>
  <si>
    <t>NanoZip 0.09 -cO -m2g ('11) Sami Runsas</t>
  </si>
  <si>
    <t>NanoZip 0.09 -co -m2g ('11) Sami Runsas</t>
  </si>
  <si>
    <t>FP8_v3 -7 (2012) Jan Ondrus</t>
  </si>
  <si>
    <t>ZCM 0.40 -m7 -r -s (2012) N.F. Antonio</t>
  </si>
  <si>
    <t>.lz</t>
  </si>
  <si>
    <t>LZIP 1.11 -9 (2010) Antonio Diaz Diaz</t>
  </si>
  <si>
    <t>packMP3 1.0c (2012) Matthias Stirner</t>
  </si>
  <si>
    <t>PBZIP2 1.0.5 -p12 -9 J.Seward &amp; J.Gilchrist</t>
  </si>
  <si>
    <t>PBZIP2 1.1.7 -p12 -9 J.Seward &amp; J.Gilchrist</t>
  </si>
  <si>
    <t>LBZIP2 0.23 -9 (2011) Laszlo Ersek</t>
  </si>
  <si>
    <t>.lzf</t>
  </si>
  <si>
    <t>LZF 3.6 vf (2011) Marc Lehmann</t>
  </si>
  <si>
    <t>WinRar 4.20β3 solid best no PPMd E. Roshal</t>
  </si>
  <si>
    <t>NanoZip 0.09 ('11) Sami Runsas -cDP 2GB</t>
  </si>
  <si>
    <t>ZCM 0.50 -m7 -r -s (2012) N.F. Antonio</t>
  </si>
  <si>
    <t>RLC (2007) Bindesh Kumar Singh</t>
  </si>
  <si>
    <t>FPAQ 0pv5 M. Mahoney &amp; N.F.Antonio</t>
  </si>
  <si>
    <t>http://tpi.sourceforge.jp/index.php/News</t>
  </si>
  <si>
    <t>SCRNCH 1.02 /w /s (1988) G. McRae</t>
  </si>
  <si>
    <t>SafeMelt32 2.74-3.10 (2002) Team Schaft</t>
  </si>
  <si>
    <t>PeaZip 3.3-4.5 .PEA better Giorgio Tani</t>
  </si>
  <si>
    <t>iROLZ (2010) Andrew Polar</t>
  </si>
  <si>
    <t>WinHKI 1.3 - 1.79 (04-06) HKI1 H.P. Imp</t>
  </si>
  <si>
    <t>Stuffit 8.0-8.5 (sitx) (Alladin Systems)</t>
  </si>
  <si>
    <t xml:space="preserve">WinArchiver 2.1-2.8 (2012) .MZP best </t>
  </si>
  <si>
    <t>Distance Coder 1.24 -b16383el Edgar Binder</t>
  </si>
  <si>
    <t>PPMX 0.08 (2012) Ilia Muraviev</t>
  </si>
  <si>
    <t>WinTurtle 1.6.0 (2008) Nania F. Antonio</t>
  </si>
  <si>
    <t>LZP (2008) Dmitry Shkarin</t>
  </si>
  <si>
    <t>packARC 0.7rc6 (2012) Matthias Stirner</t>
  </si>
  <si>
    <t>packJPG + packMP3 packPNM + packARI</t>
  </si>
  <si>
    <t>reJPEG 0.1 (2011) P. Skibinski &amp; M. Stirner</t>
  </si>
  <si>
    <t>AACZIP (2005) Sound Genetics</t>
  </si>
  <si>
    <t>OGG REHUFF (2012)</t>
  </si>
  <si>
    <t>ST v0.83 -b (2012) Gedo Stefan</t>
  </si>
  <si>
    <t>WinRar 4.20 solid best no PPMd E. Roshal</t>
  </si>
  <si>
    <t>WinRar 4.20 solid best auto filter E. Roshal</t>
  </si>
  <si>
    <t>WinRar 4.20 solid best force PPMd E. Roshal</t>
  </si>
  <si>
    <t>.stz</t>
  </si>
  <si>
    <t>STZ 0.83 -c2 (2011) Bruno Wyttenbach</t>
  </si>
  <si>
    <t>LZBW2A</t>
  </si>
  <si>
    <t>Switches used</t>
  </si>
  <si>
    <t>ALL</t>
  </si>
  <si>
    <t>% Weighted</t>
  </si>
  <si>
    <t>ESPERANTO</t>
  </si>
  <si>
    <t>ARABIC</t>
  </si>
  <si>
    <t>HEBREW</t>
  </si>
  <si>
    <t>TURKISH</t>
  </si>
  <si>
    <t>VIETNAMESE</t>
  </si>
  <si>
    <t>MAORI</t>
  </si>
  <si>
    <t>TAGALOG</t>
  </si>
  <si>
    <t>ALBANIAN</t>
  </si>
  <si>
    <t>LITHUANIAN</t>
  </si>
  <si>
    <t>RUSSIAN</t>
  </si>
  <si>
    <t>AFRIKAANS</t>
  </si>
  <si>
    <t>DANISH</t>
  </si>
  <si>
    <t>DUTCH</t>
  </si>
  <si>
    <t>ENGLISH</t>
  </si>
  <si>
    <t>GERMAN</t>
  </si>
  <si>
    <t>NORWEGIAN</t>
  </si>
  <si>
    <t>SWEDISH</t>
  </si>
  <si>
    <t>FRENCH</t>
  </si>
  <si>
    <t>ITALIAN</t>
  </si>
  <si>
    <t>LATIN</t>
  </si>
  <si>
    <t>PORTUGUESE</t>
  </si>
  <si>
    <t>ROMANIAN</t>
  </si>
  <si>
    <t>SPANISH</t>
  </si>
  <si>
    <t>GREEK</t>
  </si>
  <si>
    <t>CROATIAN</t>
  </si>
  <si>
    <t>CZECH</t>
  </si>
  <si>
    <t>XHOSA</t>
  </si>
  <si>
    <t>CHINESE</t>
  </si>
  <si>
    <t>THAI</t>
  </si>
  <si>
    <t>KOREAN</t>
  </si>
  <si>
    <t>FINNISH</t>
  </si>
  <si>
    <t>HUNGARIAN</t>
  </si>
  <si>
    <t xml:space="preserve">The documents used for this text compression benchmark were taken from the Unbound Bible Project. I used the same text in different languages to see which language compresses best. Does anybody have the bible in a language of the Eskimo-Aleut family (UTF-8 encoded plain text - not PDF)? </t>
  </si>
  <si>
    <t>Language family</t>
  </si>
  <si>
    <t xml:space="preserve"> constructed international auxiliary language</t>
  </si>
  <si>
    <t>Afro-Asiatic</t>
  </si>
  <si>
    <t>Altaic</t>
  </si>
  <si>
    <t>Austro-Asiatic</t>
  </si>
  <si>
    <t>Austronesian</t>
  </si>
  <si>
    <t>Indo-European</t>
  </si>
  <si>
    <t>Niger-Congo</t>
  </si>
  <si>
    <t>Sino-Tibetan</t>
  </si>
  <si>
    <t>Tai-Kadai</t>
  </si>
  <si>
    <t>unclassified</t>
  </si>
  <si>
    <t>Uralic</t>
  </si>
  <si>
    <t>Subtype</t>
  </si>
  <si>
    <t>created by L.L. Zamenhof  in 1887</t>
  </si>
  <si>
    <t>Semitic</t>
  </si>
  <si>
    <t>Turkic</t>
  </si>
  <si>
    <t>Mon-Khmer</t>
  </si>
  <si>
    <t>Malayo-Polynesian</t>
  </si>
  <si>
    <t>Albanian</t>
  </si>
  <si>
    <t>Baltic</t>
  </si>
  <si>
    <t>Balto-Slavic</t>
  </si>
  <si>
    <t>Germanic</t>
  </si>
  <si>
    <t>Italic</t>
  </si>
  <si>
    <t>Proto-Greek</t>
  </si>
  <si>
    <t>Slavic</t>
  </si>
  <si>
    <t>Atlantic-Congo</t>
  </si>
  <si>
    <t>Chinese</t>
  </si>
  <si>
    <t>Kam-Tai</t>
  </si>
  <si>
    <t>perhaps Altaic</t>
  </si>
  <si>
    <t>Finno-Ugric</t>
  </si>
  <si>
    <t>spoken in</t>
  </si>
  <si>
    <t>United Arab Emirates</t>
  </si>
  <si>
    <t>Israel, Argentina, Brazil</t>
  </si>
  <si>
    <t>Turkey</t>
  </si>
  <si>
    <t>Vietnam</t>
  </si>
  <si>
    <t>Philippines</t>
  </si>
  <si>
    <t>Albania</t>
  </si>
  <si>
    <t>Belarus, Crimea, Russia</t>
  </si>
  <si>
    <t>South Africa</t>
  </si>
  <si>
    <t>nearly worldwide</t>
  </si>
  <si>
    <t>Germany, Austria</t>
  </si>
  <si>
    <t>Norway</t>
  </si>
  <si>
    <t>Africa, Europe</t>
  </si>
  <si>
    <t>Italy, San Marino</t>
  </si>
  <si>
    <t>Vatican City</t>
  </si>
  <si>
    <t>Angola, Brazil, Portugal</t>
  </si>
  <si>
    <t>Colombia, Cuba, Spain, Ecuador</t>
  </si>
  <si>
    <t>Greece</t>
  </si>
  <si>
    <t>Croatia</t>
  </si>
  <si>
    <t>Czech Repuplic</t>
  </si>
  <si>
    <t>South Africa, Lesotho</t>
  </si>
  <si>
    <t>China, Taiwan</t>
  </si>
  <si>
    <t>Thailand,       North Malaysia</t>
  </si>
  <si>
    <t>North Korea, South Korea</t>
  </si>
  <si>
    <t>Character Set Encoding</t>
  </si>
  <si>
    <t>UTF-8</t>
  </si>
  <si>
    <t>www.unboundbible.org</t>
  </si>
  <si>
    <t xml:space="preserve">             Best BPB value</t>
  </si>
  <si>
    <t>PAQ8oSSE2 v2</t>
  </si>
  <si>
    <t>-7</t>
  </si>
  <si>
    <t>PAQ8PXD_v4</t>
  </si>
  <si>
    <t>FP8_v3</t>
  </si>
  <si>
    <t>PAQ 8i (all .DIC)</t>
  </si>
  <si>
    <t>-7 (900 MB)</t>
  </si>
  <si>
    <t>PAQ 8d (all .DIC)</t>
  </si>
  <si>
    <t>PAQ 8a</t>
  </si>
  <si>
    <t>PAQ 8e (all .DIC)</t>
  </si>
  <si>
    <t>PAQ8 HP12 any</t>
  </si>
  <si>
    <t>WinRK 3.0.3 beta</t>
  </si>
  <si>
    <t>PAQ8 HP7</t>
  </si>
  <si>
    <t>PAQ 7</t>
  </si>
  <si>
    <t>option -5</t>
  </si>
  <si>
    <t>PAQ8 HP6</t>
  </si>
  <si>
    <t>Durilca 0.5 Hutter</t>
  </si>
  <si>
    <t>e -m800 -t1</t>
  </si>
  <si>
    <t>PAQ6 ebb Blaster</t>
  </si>
  <si>
    <t>NanoZip 0.05 GUI</t>
  </si>
  <si>
    <t>CM 1 GB</t>
  </si>
  <si>
    <t>LPAQ9e</t>
  </si>
  <si>
    <t>7</t>
  </si>
  <si>
    <t>WinUDA 0.291</t>
  </si>
  <si>
    <t>Mode 3</t>
  </si>
  <si>
    <t>ASH 0.4a</t>
  </si>
  <si>
    <t>/m768</t>
  </si>
  <si>
    <t>LPAQ7</t>
  </si>
  <si>
    <t>PAQ4 EC Duritium</t>
  </si>
  <si>
    <t>- no options available -</t>
  </si>
  <si>
    <t>DRT | LPAQ9l</t>
  </si>
  <si>
    <t>9</t>
  </si>
  <si>
    <t>CMM4 0.01e</t>
  </si>
  <si>
    <t>66</t>
  </si>
  <si>
    <t>Compressia 1.0b</t>
  </si>
  <si>
    <t>15 MB, max, english, sol.</t>
  </si>
  <si>
    <t>SLIM 23</t>
  </si>
  <si>
    <t>-o6 -m800 -tt+</t>
  </si>
  <si>
    <t>CCMx 1.20g</t>
  </si>
  <si>
    <t>c 7</t>
  </si>
  <si>
    <t>Ocamyd 1.65</t>
  </si>
  <si>
    <t>-s0 -m9</t>
  </si>
  <si>
    <t>CCM 1.20a</t>
  </si>
  <si>
    <t>no options</t>
  </si>
  <si>
    <t>CCMx 1.30c (7)</t>
  </si>
  <si>
    <t>ENC 0.15</t>
  </si>
  <si>
    <t>a -g -o8</t>
  </si>
  <si>
    <t>WinRK 2.1.6</t>
  </si>
  <si>
    <t>PPMD 768 MB o6 + dict</t>
  </si>
  <si>
    <t>PPMY 9a9</t>
  </si>
  <si>
    <t>/o76 /m800</t>
  </si>
  <si>
    <t>PPMonstr ver J</t>
  </si>
  <si>
    <t>e -m800m -o6</t>
  </si>
  <si>
    <t>Bee 0.79 (BeeGUI)</t>
  </si>
  <si>
    <t>-m3 -d8 -s</t>
  </si>
  <si>
    <t>CCM 1.1.7a</t>
  </si>
  <si>
    <t>UHBC</t>
  </si>
  <si>
    <t>e -b128m -m3</t>
  </si>
  <si>
    <t>YBS 0.03f</t>
  </si>
  <si>
    <t>-m16m</t>
  </si>
  <si>
    <t>WinZip 12.0.8252</t>
  </si>
  <si>
    <t>optimize for best cmp.</t>
  </si>
  <si>
    <t>WinZip 11.0.7313</t>
  </si>
  <si>
    <t>CTW 0.1</t>
  </si>
  <si>
    <t>-n16m -d11</t>
  </si>
  <si>
    <t>SBC 0.970 Rev II</t>
  </si>
  <si>
    <t>c -m3 -b63 -os</t>
  </si>
  <si>
    <t>UHARC 0.6b (PPM)</t>
  </si>
  <si>
    <t>PPM 32 MB</t>
  </si>
  <si>
    <t>Stuffit 11.0.1.48</t>
  </si>
  <si>
    <t>Best Text Compression</t>
  </si>
  <si>
    <t>WinRar 3.62</t>
  </si>
  <si>
    <t>128 MB PPM forced o16</t>
  </si>
  <si>
    <t>7-Zip 4.43 (PPMd)</t>
  </si>
  <si>
    <t>768 MB, word=8, solid</t>
  </si>
  <si>
    <t>DGCA 1.10e</t>
  </si>
  <si>
    <t>solid, verify</t>
  </si>
  <si>
    <t>ICE-OWS 4.20</t>
  </si>
  <si>
    <t>Maximum</t>
  </si>
  <si>
    <t>Bio Archiver 1.9</t>
  </si>
  <si>
    <t>hyper, automatic</t>
  </si>
  <si>
    <t>RZM 0.07h</t>
  </si>
  <si>
    <t>Squeez 5.50</t>
  </si>
  <si>
    <t>420 MB PPM forced</t>
  </si>
  <si>
    <t>best asymmetric + PPM</t>
  </si>
  <si>
    <t>best asy.ROLZ-3+PPM</t>
  </si>
  <si>
    <t>ZZIP 0.36</t>
  </si>
  <si>
    <t>a -64m -mx</t>
  </si>
  <si>
    <t>Quark 0.93 (2005)</t>
  </si>
  <si>
    <t>c -m1 -d27 -l9</t>
  </si>
  <si>
    <t>CTXf 0.75</t>
  </si>
  <si>
    <t>c -me -b</t>
  </si>
  <si>
    <t>StuffIt 9.5</t>
  </si>
  <si>
    <t>BSSC 0.95 alpha</t>
  </si>
  <si>
    <t>e -b16383</t>
  </si>
  <si>
    <t>7-Zip 4.43 (LZMA)</t>
  </si>
  <si>
    <t>96 MB, mf=bt4, solid</t>
  </si>
  <si>
    <t>HA 0.999b</t>
  </si>
  <si>
    <t>a2 (=HSC)</t>
  </si>
  <si>
    <t>MS Cabinet (LZX)</t>
  </si>
  <si>
    <t>level 21 (max)</t>
  </si>
  <si>
    <t>WinAce 2.65 Final</t>
  </si>
  <si>
    <t>4 MB, maximum, solid</t>
  </si>
  <si>
    <t>XTREME 1.06</t>
  </si>
  <si>
    <t>-m0 -s -t8</t>
  </si>
  <si>
    <t>LHA 1.99 (LHMelt)</t>
  </si>
  <si>
    <t>lh7 (64kb), 32kb Buffer</t>
  </si>
  <si>
    <t>WinZip 9.0 SR-1</t>
  </si>
  <si>
    <t>deflate 32, level 9</t>
  </si>
  <si>
    <t>Jabosoft Archiver</t>
  </si>
  <si>
    <t>16 MB dictionary</t>
  </si>
  <si>
    <t>CP Shrink</t>
  </si>
  <si>
    <t>/A</t>
  </si>
  <si>
    <t>NSK (NaShrinK)</t>
  </si>
  <si>
    <t>MS COMPRESS 2</t>
  </si>
  <si>
    <t>WinMPQ 1.54</t>
  </si>
  <si>
    <t>Auto-Picks the best m..</t>
  </si>
  <si>
    <t>ZCM 0.50</t>
  </si>
  <si>
    <t>-v -s -m7</t>
  </si>
  <si>
    <t>Microsoft Compress 2.0 (1992)</t>
  </si>
  <si>
    <t>Microsoft Compress 1.02 (1993) -a3</t>
  </si>
  <si>
    <t>Microsoft Compress 1.11 (1999) -a3</t>
  </si>
  <si>
    <t>.ta$</t>
  </si>
  <si>
    <t>.doz</t>
  </si>
  <si>
    <t>DOZ (1993) -c Joe Orost</t>
  </si>
  <si>
    <t>.comprox</t>
  </si>
  <si>
    <t>LZDS 2.0 ('99) -m5 -s1024 D.Subbotin</t>
  </si>
  <si>
    <t>PreComp 0.4.3 Christian Schneider</t>
  </si>
  <si>
    <t>Precomp 0.4.3 + 7-ZIP 9.2.8 ultra 128MB</t>
  </si>
  <si>
    <t>LZMA2lc4:128; PPMd:1024 o10+delta:3</t>
  </si>
  <si>
    <t>.WEBP 0.20 lossless (cwebp.exe, 16.08.2012)</t>
  </si>
  <si>
    <t>.WEBP 0.13 exp. lossless (png2webpll.exe, 12.04.2012)</t>
  </si>
  <si>
    <t>.WEBP 0.13 exp. lossless (png2webpll.exe, 18.11.2011) -c 0</t>
  </si>
  <si>
    <t>.JPG (LIBJPEG 8d, 2012 06, Thomas Richter) -c -p -q 100 (lossless)</t>
  </si>
  <si>
    <t>.JPG (LIBJPEG 8d, 2012 09, Thomas Richter) -ls 0 -c (lossless)</t>
  </si>
  <si>
    <t>.JLS (JPEG-LS; CharLS -encodepnm in.ppm out.jls) 03.11.2010</t>
  </si>
  <si>
    <t>.JLS (jpegls.8bi, color transform R-=G, B-=G, 21.11.2001, lossless)</t>
  </si>
  <si>
    <t>.JLS (jpegls.8bi, color transform B-=(R+G)/2, 21.11.2001, lossless)</t>
  </si>
  <si>
    <t>.CPD (PhotoK 0.1.0.1, www.kandalu.net, 30.07.2009) lossless</t>
  </si>
  <si>
    <t>ZCM 0.60d -m7 -r -s (2012) N.F. Antonio</t>
  </si>
  <si>
    <t>ZCM 0.60d -m7 -r -s -t4 (2012) N.F. Antonio</t>
  </si>
  <si>
    <t>.JPG (JPEG 9; cjpeg -rgb1 -block 1 -arithmetic) 19.05.2012, lossless</t>
  </si>
  <si>
    <t>SAC 0.0.6a4 (05.08.2007) --insane Sebastian</t>
  </si>
  <si>
    <t>is a descendant of the</t>
  </si>
  <si>
    <t>MMA 0.0a3 (09.08.2008) Christian Martelock</t>
  </si>
  <si>
    <t>think that lossless</t>
  </si>
  <si>
    <t>TAK 2.2.0 (29.05.2011) -p4m Thomas Becker</t>
  </si>
  <si>
    <t>media compression</t>
  </si>
  <si>
    <t>is outdated and should</t>
  </si>
  <si>
    <t>you'd better think</t>
  </si>
  <si>
    <t>it over - newspapers,</t>
  </si>
  <si>
    <t>VHS video recordings,</t>
  </si>
  <si>
    <t>TTA TrueAudio 3.4.1 (27.07.'07) Alexander Djourik</t>
  </si>
  <si>
    <t>vinyl recordings,</t>
  </si>
  <si>
    <t>FLAC 1.2.1 (17.09.07) Josh Coalson -8 -b 4096</t>
  </si>
  <si>
    <t>it exists. Our computers</t>
  </si>
  <si>
    <t>offer everlasting storage</t>
  </si>
  <si>
    <t>of data, and also offers</t>
  </si>
  <si>
    <t>lossless compression -</t>
  </si>
  <si>
    <t>so why reduce quality</t>
  </si>
  <si>
    <t>files straight from the</t>
  </si>
  <si>
    <t>beginning?</t>
  </si>
  <si>
    <t>DGCA 1.00 - 1.10e (2004-2006) Shin-ichi Tsuruta</t>
  </si>
  <si>
    <t>genre:</t>
  </si>
  <si>
    <t>here</t>
  </si>
  <si>
    <t>￭ streams: PCM, 2ch, 16 Bit @ 44.1kHz, 1411.2 kbps</t>
  </si>
  <si>
    <t>playtime:</t>
  </si>
  <si>
    <t>726.8 sec</t>
  </si>
  <si>
    <t>197.1 sec</t>
  </si>
  <si>
    <t>216.6 sec</t>
  </si>
  <si>
    <t>497.4 sec</t>
  </si>
  <si>
    <t>get it:</t>
  </si>
  <si>
    <t>CCMx 1.30c (24.04.2008) (option 7)  Christian Martelock</t>
  </si>
  <si>
    <t>APPLE lossless (iTunes 10.7)</t>
  </si>
  <si>
    <t>Real Audio Lossless (Real Player Basic 15.0.6 (.ra)</t>
  </si>
  <si>
    <t>FlaCCL 0.4 (14.06.2011) Gregory S. Chudov -11 -b 4096</t>
  </si>
  <si>
    <t>WinZip 16.5.10095 (ZIPX) best method</t>
  </si>
  <si>
    <t>MPEG-4 ALS RM23 (29.01.2011) (RM20) -7 -a</t>
  </si>
  <si>
    <t>MPEG-4 ALS RM23 (29.01.2011) -i -o1023 -a -b -z3 -p</t>
  </si>
  <si>
    <t>FreeARC 0.67 ultra (2012) Bulat Ziganshin</t>
  </si>
  <si>
    <t>NanoZip 0.09α -cc -m2g (04.11.2011) Sami Runsas</t>
  </si>
  <si>
    <t>PAQ8pxd_v4 (19.04.2012) -7 -worldwide PAQ crew-</t>
  </si>
  <si>
    <t>OSQ Steinberg Wavelab 6 Essentials Original Sound Quality</t>
  </si>
  <si>
    <t>mp3HD commandline Encoder 1.5.0 02.02.2010) Fraunhofer IIS</t>
  </si>
  <si>
    <t>WinRK 3.1.2 beta (2005) best asymmetric Malcolm Taylor</t>
  </si>
  <si>
    <t>GZIP 1.3.12 (-9) (15.10.2007) Jean-Loup Gailly &amp; Mark Adler</t>
  </si>
  <si>
    <t>BZIP2 1.0 (2008) -9 Julian Seward</t>
  </si>
  <si>
    <t>LTAC block length = 4096, (1998) Tilman Liebchen</t>
  </si>
  <si>
    <t>LPAC Archiver 1.41 (01.10.2002) Extra High Tilman Liebchen</t>
  </si>
  <si>
    <t>SONY Perfect Clarity Audio .PCA (Sound Forge Pro 10 Trial)</t>
  </si>
  <si>
    <t>table 1 of 2</t>
  </si>
  <si>
    <t>table 2 of 2</t>
  </si>
  <si>
    <t>STUFFIT 15 API 2.0.672.3563 (sitx) --comp-spec=2,25,2,1,+</t>
  </si>
  <si>
    <t>Monkey's Audio 4.0-4.1 (2006-2011) (insane) Matthew T. Ashland</t>
  </si>
  <si>
    <t>a-Pac 1.0 (09.02.1998)</t>
  </si>
  <si>
    <t>VOCPACK 1.0 (02.03.1993) Nicola Ferioli</t>
  </si>
  <si>
    <t>WavArc 1.1 (01.08.1997) -c5 (5ELP) Dennis Lee</t>
  </si>
  <si>
    <t>OptimFrog 4.910ex (11.02.'11) --maximumcompression -experimental</t>
  </si>
  <si>
    <t>LA 0.4b (08.02.2004) -high Michael Bevin</t>
  </si>
  <si>
    <t>OptimFrog 4.910ex (11.02.'11) --maximumcompression F. Ghido</t>
  </si>
  <si>
    <t>LA 0.2 (07.09.2002) -no option- Michael Bevin</t>
  </si>
  <si>
    <t>LA 0.4b (08.02.2004) normal Michael Bevin</t>
  </si>
  <si>
    <t>OptimFrog 4.910ex (11.02.'11) --mode bestnew -optimize best</t>
  </si>
  <si>
    <t>OptimFrog 4.910ex (11.02.'11) --mode extranew Florin Ghido</t>
  </si>
  <si>
    <t>OptimFrog 4.910ex (11.02.'11) --mode highnew Florin Ghido</t>
  </si>
  <si>
    <t>ADA 1.0 (1999) Advanced Digital Audio 1999, option 0</t>
  </si>
  <si>
    <t>WAVPACK 4.60.1 (29.11.2009)) -HHX6 David Bryant</t>
  </si>
  <si>
    <t>RKAU 1.07 (11.12.2000) Malcolm Taylor</t>
  </si>
  <si>
    <t>SBC Archiver 0.970r3 (2008) -m3 -b63 Sami J. Makinen</t>
  </si>
  <si>
    <t>WAVPACK 4.60.1 (29.11.2009) no option David Bryant</t>
  </si>
  <si>
    <t>AudioZIP 3 (31.10.2000) Daniel Cheong &amp; Desmond Ang</t>
  </si>
  <si>
    <t>WMA LossLess (WindowsMediaAudio) 9.2</t>
  </si>
  <si>
    <t>Shorten 3.51-3.61 -c 2 -r 32.0 (14.02.2003) Tony Robinson</t>
  </si>
  <si>
    <t>MUSIcompress 3.0 (07.12.2001) Al Wegener</t>
  </si>
  <si>
    <t>Bonk lossless, predictor=512; Fre:ac (2010) Robert Kausch</t>
  </si>
  <si>
    <t>UHARC 0.6b (PPM, 32MB dict., Multimedia ) U. Herklotz</t>
  </si>
  <si>
    <t>WinAce 2.69 Final (4096 KB dict + Delta) Marcel Lemke</t>
  </si>
  <si>
    <t>DAKX Wav32 1.0 (13.12.1999) D. A. Kopf</t>
  </si>
  <si>
    <t>Litewave 1.0.011 (25.04.2002) ClearJump</t>
  </si>
  <si>
    <t>Onda Lossless Audio 2.2 (java -jar onda.jar) (07.01.2008) JAVA</t>
  </si>
  <si>
    <t>WinRar x64 4.20 (2012) (4096 KB dictionary + Delta) Eugene Roshal</t>
  </si>
  <si>
    <t>MIO COMPRESS 1.0 (23.10.2003) Leshade Entis</t>
  </si>
  <si>
    <t>Charlie 1.32-1.4 (23.11.2000) - v1.4 (01.06.2004) Aleksi Eeben</t>
  </si>
  <si>
    <t>VOCPACK 2.0 (01.09.1993) (-2 -6) Nicola Ferioli</t>
  </si>
  <si>
    <t>MultitrackStudio Lite 7.1 (2012) .GJS Bremmers Audio Design</t>
  </si>
  <si>
    <t>mkw Audio Compression Tool 0.97 Michael K. Weise</t>
  </si>
  <si>
    <t>runs for days</t>
  </si>
  <si>
    <t>SONICLS (Audacity + FFMPEG lossless audio coder; experimental)</t>
  </si>
  <si>
    <t>KrishnaSoft Sound Processing Software 1.0 (06.06.00) ELS-ultra</t>
  </si>
  <si>
    <t>KrishnaSoft Sound Processing Software 1.0 (06.06.00) ELS-arithmetic</t>
  </si>
  <si>
    <t>SONARC 2.1i (27.06.1994) -F4096 -O0 -S2 -X Speech Compression</t>
  </si>
  <si>
    <t>Flashzip 0.99d1b -m9 -b7 -s (2009) N.F. Antonio</t>
  </si>
  <si>
    <t>226.1 sec</t>
  </si>
  <si>
    <t>205.4 sec</t>
  </si>
  <si>
    <t xml:space="preserve">   uncompressed size</t>
  </si>
  <si>
    <t>Shun Ward • Stripper Luv</t>
  </si>
  <si>
    <t>Smooth Genestar • The Source</t>
  </si>
  <si>
    <t>Caalamus • Blues Alley</t>
  </si>
  <si>
    <t>Beethoven •</t>
  </si>
  <si>
    <t>Crystal Newton • Declaration Of Love</t>
  </si>
  <si>
    <t>Ändy • Have you seen the lizards</t>
  </si>
  <si>
    <t>New Age Hippies • Metamorphosia</t>
  </si>
  <si>
    <t>ACAPELLA</t>
  </si>
  <si>
    <t>AMBIENT</t>
  </si>
  <si>
    <t>BLUES</t>
  </si>
  <si>
    <t>CLASSICAL</t>
  </si>
  <si>
    <t>POP</t>
  </si>
  <si>
    <t>ROCK</t>
  </si>
  <si>
    <t>TRANCE</t>
  </si>
  <si>
    <r>
      <t xml:space="preserve"> Co</t>
    </r>
    <r>
      <rPr>
        <b/>
        <sz val="36"/>
        <color rgb="FFF4910C"/>
        <rFont val="Arial Unicode MS"/>
        <family val="2"/>
      </rPr>
      <t>നP</t>
    </r>
    <r>
      <rPr>
        <sz val="48"/>
        <color rgb="FFF4910C"/>
        <rFont val="Arial Unicode MS"/>
        <family val="2"/>
      </rPr>
      <t>ʀеssiהʛ αʟreaδʏ  Co</t>
    </r>
    <r>
      <rPr>
        <b/>
        <sz val="36"/>
        <color rgb="FFF4910C"/>
        <rFont val="Arial Unicode MS"/>
        <family val="2"/>
      </rPr>
      <t>നP</t>
    </r>
    <r>
      <rPr>
        <sz val="48"/>
        <color rgb="FFF4910C"/>
        <rFont val="Arial Unicode MS"/>
        <family val="2"/>
      </rPr>
      <t>ʀеsseδ  Fiʟes</t>
    </r>
  </si>
  <si>
    <t>Ѡoʀʟδ Recoʀδs ʙʏ Ψeαʀ</t>
  </si>
  <si>
    <r>
      <rPr>
        <sz val="48"/>
        <color rgb="FFF4910C"/>
        <rFont val="Old English Text MT"/>
        <family val="4"/>
      </rPr>
      <t>C</t>
    </r>
    <r>
      <rPr>
        <sz val="36"/>
        <color rgb="FFF4910C"/>
        <rFont val="Old English Text MT"/>
        <family val="4"/>
      </rPr>
      <t>oനP</t>
    </r>
    <r>
      <rPr>
        <sz val="48"/>
        <color rgb="FFF4910C"/>
        <rFont val="Old English Text MT"/>
        <family val="4"/>
      </rPr>
      <t xml:space="preserve">ʀеssiהʛ </t>
    </r>
    <r>
      <rPr>
        <sz val="48"/>
        <color rgb="FFF4910C"/>
        <rFont val="Arial Unicode MS"/>
        <family val="2"/>
      </rPr>
      <t>Շ</t>
    </r>
    <r>
      <rPr>
        <sz val="48"/>
        <color rgb="FFF4910C"/>
        <rFont val="Old English Text MT"/>
        <family val="4"/>
      </rPr>
      <t>exτ iה Di</t>
    </r>
    <r>
      <rPr>
        <sz val="36"/>
        <color rgb="FFF4910C"/>
        <rFont val="Old English Text MT"/>
        <family val="4"/>
      </rPr>
      <t>FF</t>
    </r>
    <r>
      <rPr>
        <sz val="48"/>
        <color rgb="FFF4910C"/>
        <rFont val="Old English Text MT"/>
        <family val="4"/>
      </rPr>
      <t>eʀeהτ L</t>
    </r>
    <r>
      <rPr>
        <sz val="48"/>
        <color rgb="FFF4910C"/>
        <rFont val="Arial Unicode MS"/>
        <family val="2"/>
      </rPr>
      <t>α</t>
    </r>
    <r>
      <rPr>
        <sz val="48"/>
        <color rgb="FFF4910C"/>
        <rFont val="Old English Text MT"/>
        <family val="4"/>
      </rPr>
      <t>הʛuαʛes</t>
    </r>
  </si>
  <si>
    <t>artist • title:</t>
  </si>
  <si>
    <t>422.8 sec</t>
  </si>
  <si>
    <t>￭ streams: PCM, 2ch, 24 Bit @ 96kHz, 4608 kbps</t>
  </si>
  <si>
    <t>DRUM &amp; BASS</t>
  </si>
  <si>
    <t>Pendulum • The Island Pt.1 (Dawn)</t>
  </si>
  <si>
    <t>320.1 sec</t>
  </si>
  <si>
    <t>ELECTRONIC</t>
  </si>
  <si>
    <t>Tony McCoy • Electric Summer</t>
  </si>
  <si>
    <t>304.0 sec</t>
  </si>
  <si>
    <t>EUROPOP</t>
  </si>
  <si>
    <t>David Dupplaw • OpenIMAJ</t>
  </si>
  <si>
    <t>446.3 sec</t>
  </si>
  <si>
    <t>Brunette Models • Atlantis</t>
  </si>
  <si>
    <t>SONY ATRAC Advanced Lossless .AA3 (Sound Forge Pro 10 Trial)</t>
  </si>
  <si>
    <t>Squeez 5.63 (2008) SQX2 ultra 32 MB auto (SpeedCommander 14)</t>
  </si>
  <si>
    <t>OptimFrog 4.910ex (11.02.'11) --maximumcompression Florin Ghido</t>
  </si>
  <si>
    <t>OptimFrog 4.910ex (11.02.'11) --mode bestnew -optimize best Florin Ghido</t>
  </si>
  <si>
    <t>OptimFrog 4.910ex (11.02.'11) --maximumcompression -experimental Florin Ghido</t>
  </si>
  <si>
    <r>
      <t xml:space="preserve">* grey colored programs </t>
    </r>
    <r>
      <rPr>
        <sz val="12"/>
        <rFont val="Arial Unicode MS"/>
        <family val="2"/>
      </rPr>
      <t>are 16 bit MS-DOS compiles that were run on DosBox 0.74 Emulator as native 64 bit Windows cannot run them anymore.</t>
    </r>
  </si>
  <si>
    <r>
      <t>*</t>
    </r>
    <r>
      <rPr>
        <sz val="12"/>
        <color rgb="FFFF0000"/>
        <rFont val="Arial Unicode MS"/>
        <family val="2"/>
      </rPr>
      <t xml:space="preserve"> ☺</t>
    </r>
    <r>
      <rPr>
        <sz val="12"/>
        <color theme="0" tint="-0.499984740745262"/>
        <rFont val="Arial Unicode MS"/>
        <family val="2"/>
      </rPr>
      <t xml:space="preserve"> </t>
    </r>
    <r>
      <rPr>
        <sz val="12"/>
        <rFont val="Arial Unicode MS"/>
        <family val="2"/>
      </rPr>
      <t>this symbol means that source codes for that codec is available.</t>
    </r>
  </si>
  <si>
    <t>LA 0.3c (27.10.2002) normal Michael Bevin</t>
  </si>
  <si>
    <t>* tags had to be removed to make input readable for all codecs.</t>
  </si>
  <si>
    <r>
      <t>Lossʟess I</t>
    </r>
    <r>
      <rPr>
        <sz val="36"/>
        <color rgb="FFF4910C"/>
        <rFont val="Arial Unicode MS"/>
        <family val="2"/>
      </rPr>
      <t>ന</t>
    </r>
    <r>
      <rPr>
        <sz val="48"/>
        <color rgb="FFF4910C"/>
        <rFont val="Arial Unicode MS"/>
        <family val="2"/>
      </rPr>
      <t>αʛе Co</t>
    </r>
    <r>
      <rPr>
        <sz val="36"/>
        <color rgb="FFF4910C"/>
        <rFont val="Arial Unicode MS"/>
        <family val="2"/>
      </rPr>
      <t>നP</t>
    </r>
    <r>
      <rPr>
        <sz val="48"/>
        <color rgb="FFF4910C"/>
        <rFont val="Arial Unicode MS"/>
        <family val="2"/>
      </rPr>
      <t>ʀеssioה</t>
    </r>
  </si>
  <si>
    <t>origin:</t>
  </si>
  <si>
    <t>CANON</t>
  </si>
  <si>
    <t>FUJI</t>
  </si>
  <si>
    <t>OLYMPUS</t>
  </si>
  <si>
    <t>RADIOGRAPH</t>
  </si>
  <si>
    <t>SIGMA</t>
  </si>
  <si>
    <t>SONY</t>
  </si>
  <si>
    <t>HUBBLE</t>
  </si>
  <si>
    <t>sensor:</t>
  </si>
  <si>
    <t>metadata:</t>
  </si>
  <si>
    <t>Bayer • 22.3x14.9mm</t>
  </si>
  <si>
    <t>Stephan Busch</t>
  </si>
  <si>
    <t>Mark Goldstein</t>
  </si>
  <si>
    <t>Bayer •   23.6×15.8mm</t>
  </si>
  <si>
    <t>Bayer • 17.3×13.0mm</t>
  </si>
  <si>
    <t>CDC/Dr. L.K.Georg</t>
  </si>
  <si>
    <t>X-Ray</t>
  </si>
  <si>
    <t>EXIF ITPC ICC GPS</t>
  </si>
  <si>
    <r>
      <t xml:space="preserve">EXIF ITPC ICC </t>
    </r>
    <r>
      <rPr>
        <sz val="8"/>
        <color theme="0" tint="-0.14999847407452621"/>
        <rFont val="Arial"/>
        <family val="2"/>
      </rPr>
      <t>GPS</t>
    </r>
  </si>
  <si>
    <r>
      <t>EXIF</t>
    </r>
    <r>
      <rPr>
        <sz val="8"/>
        <color theme="0" tint="-0.14999847407452621"/>
        <rFont val="Arial"/>
        <family val="2"/>
      </rPr>
      <t xml:space="preserve"> ITPC ICC GPS</t>
    </r>
  </si>
  <si>
    <t>Bayer • unknown size</t>
  </si>
  <si>
    <t>Foveon X3 • 20.7×13.8mm</t>
  </si>
  <si>
    <t>creator:</t>
  </si>
  <si>
    <t>STSCI</t>
  </si>
  <si>
    <t>.RKI RKIM 1.06 (08.01.2000) cx (input=tga)</t>
  </si>
  <si>
    <t>.UHI UHIC 2.0 (27.12.1999) m (input=bmp)</t>
  </si>
  <si>
    <t>.RKI RKIM 1.06 (08.01.2000) c (input=tga)</t>
  </si>
  <si>
    <t>RAW Image Format (from which the .TIFF here comes)</t>
  </si>
  <si>
    <t xml:space="preserve">FreeARC 0.67 ultra (2012) Bulat Ziganshin </t>
  </si>
  <si>
    <t>.UHI UHIC 2.0 (27.12.1999) e (input=bmp)</t>
  </si>
  <si>
    <t>.J2K JPEG2000 (Lossless)</t>
  </si>
  <si>
    <t>.JXR JPEG-XR (Zoner Photo Studio 14 free) Quality 100</t>
  </si>
  <si>
    <t>.APT v 1.0 (25.3.2004) (input=bmp) John Robinson</t>
  </si>
  <si>
    <t>.BTP BTPC 5 (EPIC 24 v0.1b) (2003) (input=bmp)John Robinson</t>
  </si>
  <si>
    <t>QBIT 1.0.0.10 (22.05.2002) Daniel Kilbank</t>
  </si>
  <si>
    <t>.OpenEXR 1.20-1.40 Format (PIZ Mode) Industrial Light &amp; Magic</t>
  </si>
  <si>
    <t>SBC Archiver 0.970r3 (2008) -m3 -b63 -os Sami J. Makinen</t>
  </si>
  <si>
    <t>MEDICAL</t>
  </si>
  <si>
    <t>CALICa (29.04.1997) Xiaolin Wu</t>
  </si>
  <si>
    <t>.PWC Piecewise Constant Image Model (20.11.1999) Paul Ausbeck</t>
  </si>
  <si>
    <t>.DCM DICOM 3.0 (Medical Image Format)</t>
  </si>
  <si>
    <t>Janice Carr</t>
  </si>
  <si>
    <t>PPMonstr var J -m800 -r0 (16.02.2006) Dmitry Shkarin</t>
  </si>
  <si>
    <t>Electron Micro- scope • blood cells</t>
  </si>
  <si>
    <t>EXIF ITPC XMP GPS</t>
  </si>
  <si>
    <t>CT • catheter</t>
  </si>
  <si>
    <t>MRI • shoulder</t>
  </si>
  <si>
    <t>GE Medical Systems</t>
  </si>
  <si>
    <t>￭ streams: RGB, 24 Bit in .TIF format</t>
  </si>
  <si>
    <t>￭ streams: grayscale, 8 bit in .PGM format</t>
  </si>
  <si>
    <t>MM07R R4.3</t>
  </si>
  <si>
    <t>Guimi</t>
  </si>
  <si>
    <t>Ultrasound • fetus, 17 weeks old</t>
  </si>
  <si>
    <t>.JPG (JPEG 9; cjpeg -block 1 -arithmetic) 19.05.2012, lossless</t>
  </si>
  <si>
    <t>.GPD (PhotoK 0.1.0.1, www.kandalu.net, 30.07.2009) lossless</t>
  </si>
  <si>
    <t>.JLS (jpegls.8bi, no color transform, 21.11.2001, lossless)</t>
  </si>
  <si>
    <t>.YPC WhyPic 1.2 -9 (05.12.1998) Osamu Yamaji (input=bmp)</t>
  </si>
  <si>
    <t>.BMF v2.01 (24.05.2010) -S Dmitry Shkarin</t>
  </si>
  <si>
    <t>* for SLP, MRP and LSP codec the image 'blood.pgm' was resized to 2032x1920; 'fetus' was resized to 944x712 because those codecs image width and height need to be multiples of 8.</t>
  </si>
  <si>
    <t>.PNG OPTIPNG 0.71 HG -o7 (19.03.2012) Cosmin Truta</t>
  </si>
  <si>
    <t>.PNG PNGCRUSH 1.7.15 -brute (26.04.'11) Glenn Randers-Pehrson</t>
  </si>
  <si>
    <t>.PNG PNGOUT /c0 (02.07.2011) Ken Silverman</t>
  </si>
  <si>
    <t>GLICBAWLS (2001) Bernd Meyer &amp; Peter Tischer</t>
  </si>
  <si>
    <t>.TVC NK 2beta (17.01.2010) Tomsk State University (input=bmp)</t>
  </si>
  <si>
    <t>EDP (Edge Directed Precision; 31.12.2000) Xin Li</t>
  </si>
  <si>
    <t>.JZZ PhotoJazz (18.08.2000, BitJazz Company)</t>
  </si>
  <si>
    <t>.PNG File Optimizer 1.70.104 (2012) Javier Gutiérrez Chamorro</t>
  </si>
  <si>
    <t>.JZZ PhotoJazz 2.0 (18.08.2000, BitJazz Company)</t>
  </si>
  <si>
    <t>ZPAQ 6.04 -add a.zpaq in.bmp -method bmp_j4 -tiny Matt Mahoney</t>
  </si>
  <si>
    <t>.BMF v2.01 (24.05.2010) no switches Dmitry Shkarin</t>
  </si>
  <si>
    <t>ARHANGEL 1.40 -mm -mf (18.01.2000) George Lyapko</t>
  </si>
  <si>
    <t>Pyramid Workshop 0.01dbg (cptpc.exe -q 100) (13.08.'06) N. Fröhling</t>
  </si>
  <si>
    <t>RICAZip 1.2 (CAPTEC, 12.05.2003)</t>
  </si>
  <si>
    <t>I have no trial</t>
  </si>
  <si>
    <t>.PGF / libPGF 6.12.24 (2004-2012) (lossless) (input=bmp)</t>
  </si>
  <si>
    <t>ERI 5.1fre (02.02.2002) Alexander Ratushnyak</t>
  </si>
  <si>
    <t>Distance Coder 1.24 -b16300el (13.04.2000) Edgar Binder</t>
  </si>
  <si>
    <t>WIC lossless image compressor (2011) (input=bmp)</t>
  </si>
  <si>
    <t>Genuine Fractals Print Pro 5.x lossless www.lizardtech.com</t>
  </si>
  <si>
    <t>BMI Zoner Bitmap Image</t>
  </si>
  <si>
    <t>http://www.imagecompression.info/gralic/LPCB.html</t>
  </si>
  <si>
    <t xml:space="preserve">.J2K JPEG2000 (lossless) Kakadu 7.1 (25.06.2012) </t>
  </si>
  <si>
    <t>http://cdb.paradice-insight.us/?stats=cmpr</t>
  </si>
  <si>
    <t xml:space="preserve">.J2K JPEG2000 (lossless) www.openjpeg.org 1.5.1 (25.06.2012) </t>
  </si>
  <si>
    <t>ZCM 0.60d -m7 -r -s (2012) Nania Francesco Antonio</t>
  </si>
  <si>
    <t>CoBALP (06.09.2002) color space conversion; fastest; Tilo Strutz</t>
  </si>
  <si>
    <t>CoBALP (06.09.2002) color space conversion; max.; Tilo Strutz</t>
  </si>
  <si>
    <t>CoBALP (06.09.2002) fastest; Tilo Strutz</t>
  </si>
  <si>
    <t>CoBALP (06.09.2002) max.; Tilo Strutz</t>
  </si>
  <si>
    <t>ZPAQ 6.06 -method 4 Matt Mahoney</t>
  </si>
  <si>
    <t>* for ISA Compress and CoBALP, Windows XP emulator (VMLite + Microsoft's free WindowsXPMode.exe)  was used.</t>
  </si>
  <si>
    <t xml:space="preserve">* camera raw files were converted to .TIFF for the benchmark. For some codecs the input format was .BMP, .PPM, .RAS or .TGA (at the cost of metadata) - they don't support other formats. </t>
  </si>
  <si>
    <t>.IZ ImageZero 0.1 (23.03.2012) Christoph Feck</t>
  </si>
  <si>
    <t>.IZ ImageZero (23.03.2012) Christoph Feck</t>
  </si>
  <si>
    <t xml:space="preserve">    test data license:</t>
  </si>
  <si>
    <r>
      <t>Lossʟess Aυδio Co</t>
    </r>
    <r>
      <rPr>
        <b/>
        <sz val="36"/>
        <color rgb="FFF4910C"/>
        <rFont val="Arial Unicode MS"/>
        <family val="2"/>
      </rPr>
      <t>നP</t>
    </r>
    <r>
      <rPr>
        <sz val="48"/>
        <color rgb="FFF4910C"/>
        <rFont val="Arial Unicode MS"/>
        <family val="2"/>
      </rPr>
      <t>ʀеssioה</t>
    </r>
  </si>
  <si>
    <t>ZPAQ 6.06 -method 4 -threads 1 M.Mahoney</t>
  </si>
  <si>
    <t>7-ZIP 9.2.9 LZMA2 ultra128:fb273:bt4:lc4</t>
  </si>
  <si>
    <t>7-ZIP 9.2.9 + Ultra7z 0.12 A. Dubrovsky</t>
  </si>
  <si>
    <t>7-ZIP 9.2.9 + m7zRepacker 1.0.32.301</t>
  </si>
  <si>
    <t>7-Zip x64 9.2.9 (0=delta:4 1=lzma2) Igor Pavlov</t>
  </si>
  <si>
    <t>7-Zip x64 9.2.9 (0=delta:6 1=lzma2) Igor Pavlov</t>
  </si>
  <si>
    <t>7-Zip x64 9.2.9 (0=delta:2 1=lzma2) Igor Pavlov</t>
  </si>
  <si>
    <t>program age in years</t>
  </si>
  <si>
    <t>average</t>
  </si>
  <si>
    <t>weighted</t>
  </si>
  <si>
    <t>.comprolz</t>
  </si>
  <si>
    <t>COMPROLZ 0.1.0 -b256 (2012) Zhang Li</t>
  </si>
  <si>
    <t>.shrinker</t>
  </si>
  <si>
    <t>Data-Shrinker (2012) Fu Siyuan</t>
  </si>
  <si>
    <t>ARBC2Z (2006) David A. Scott</t>
  </si>
  <si>
    <t>.arbc2z</t>
  </si>
  <si>
    <t>7-ZIP 9.2.9 no compression (store)</t>
  </si>
  <si>
    <t>TAR (Tape Archive) (2011) 7-Zip 9.29</t>
  </si>
  <si>
    <t>order-0 arithmetic coder</t>
  </si>
  <si>
    <t>FPAQ 0pv4b M. Mahoney &amp; E.Shelwien</t>
  </si>
  <si>
    <t>symbol ranking</t>
  </si>
  <si>
    <t>.kwc</t>
  </si>
  <si>
    <t>DZO Compressor 0.1.1 beta Essenso Lab</t>
  </si>
  <si>
    <t>.dzo</t>
  </si>
  <si>
    <t>deduplication + LZMA</t>
  </si>
  <si>
    <t>KWC 0.0.3.3 (2010) Sportsman</t>
  </si>
  <si>
    <t>.tlzp</t>
  </si>
  <si>
    <t>http://mattmahoney.net/dc/text.html</t>
  </si>
  <si>
    <t>NTFS (file system compression)</t>
  </si>
  <si>
    <t>unchanged</t>
  </si>
  <si>
    <t>LZT (Lempel-Ziv-Tamayo)</t>
  </si>
  <si>
    <t>.lzt</t>
  </si>
  <si>
    <t>LZGT3a (2008) Gerald R. Tamayo</t>
  </si>
  <si>
    <t>.bpe2</t>
  </si>
  <si>
    <t>Byte Pair Encoding</t>
  </si>
  <si>
    <t>BPE2 v3 (2010) Will</t>
  </si>
  <si>
    <t>jTarsaLZP (2012) Piotr Tarsa</t>
  </si>
  <si>
    <t>.symbra</t>
  </si>
  <si>
    <t>Symbra 0.2 -c6 -m5 -p2 F. Schwellinger</t>
  </si>
  <si>
    <t>Power Archiver 13.02.04  7z opt.ultra solid</t>
  </si>
  <si>
    <t>LZMA / PPMd</t>
  </si>
  <si>
    <t>Contra 0.5 -b9 -r9 -m2 F. Schwellinger</t>
  </si>
  <si>
    <t>.contra</t>
  </si>
  <si>
    <t>order 1-2-3-6 context mixing</t>
  </si>
  <si>
    <t>.tinycm</t>
  </si>
  <si>
    <t>.tinylzp</t>
  </si>
  <si>
    <t>.lazy</t>
  </si>
  <si>
    <t>LAZY 1.0 option 5 (2012) Matt Mahoney</t>
  </si>
  <si>
    <t>RangeCoderC 1.8 c2 28 David Catt</t>
  </si>
  <si>
    <t>context mixing</t>
  </si>
  <si>
    <t>.range</t>
  </si>
  <si>
    <t>TinyCM 0.2 option 8 (2012) David Catt</t>
  </si>
  <si>
    <t>TinyLZP 0.1 (2012) David Catt</t>
  </si>
  <si>
    <t>bijective order-2 PPM</t>
  </si>
  <si>
    <t>SBC 0.970r3 -m3 -b63 -os Sami Makinen</t>
  </si>
  <si>
    <t>ZCM 0.70d -m7 -r -s (2012) N.F. Antonio</t>
  </si>
  <si>
    <t>http://soundcloud.com/cyan-music/new-age-hippies-metamorphosia</t>
  </si>
  <si>
    <t>AAC / MP4 [497.4 sec 2ch 44.1 kHz]</t>
  </si>
  <si>
    <t>320 kbps VBR</t>
  </si>
  <si>
    <t>WinZip 16.5.10095 legacy Deflate 2.0 (2012)</t>
  </si>
  <si>
    <t>STUFFIT 14.0.1 (sitx) LZARI 5:27</t>
  </si>
  <si>
    <t>ZPAQ 6.11 -method 4 2 Matt Mahoney</t>
  </si>
  <si>
    <t>FLASHZIP 1.0.1 (2012) -r -s -mx7 -b7</t>
  </si>
  <si>
    <t>LZHAM α7r1 -m4 -d29 -t7 -e -x R. Geldreich, Jr.</t>
  </si>
  <si>
    <t>BZIP2 1.0.6 (2011) -9 Julian Seward</t>
  </si>
  <si>
    <t>HexZip (M. Isenburg &amp; P. Lindstrom) + ZLIB</t>
  </si>
  <si>
    <t>SCIENTIFIC DATA (thanks to Martin Burtscher &amp; P. Ratanaworabhan and their paper 'High Throughput Compression of Double-Precision Floating-Point Data')</t>
  </si>
  <si>
    <t>WinRar 4.20 (auto 4MB + delta) E Roshal</t>
  </si>
  <si>
    <t>DGCA 1.00 - 1.10e Shin-ichi Tsuruta</t>
  </si>
  <si>
    <t>PPMonstr var J -m800 Dmitry Shkarin</t>
  </si>
  <si>
    <t>NanoZip 0.09α -cc -m2g Sami Runsas</t>
  </si>
  <si>
    <t xml:space="preserve">FreeARC 0.67 ultra Bulat Ziganshin </t>
  </si>
  <si>
    <t>WinAce 2.69 (4MB dict + delta) M. Lemke</t>
  </si>
  <si>
    <t>UHARC 0.6b -mm+ -mx 32MB U. Herklotz</t>
  </si>
  <si>
    <t>PAQ8pxd_v4 (2012) -7  ww PAQ crew</t>
  </si>
  <si>
    <t>GUI</t>
  </si>
  <si>
    <r>
      <rPr>
        <sz val="12"/>
        <rFont val="Arial Unicode MS"/>
        <family val="2"/>
      </rPr>
      <t>*</t>
    </r>
    <r>
      <rPr>
        <sz val="12"/>
        <color theme="0" tint="-0.499984740745262"/>
        <rFont val="Arial Unicode MS"/>
        <family val="2"/>
      </rPr>
      <t xml:space="preserve"> grey colored programs </t>
    </r>
    <r>
      <rPr>
        <sz val="12"/>
        <rFont val="Arial Unicode MS"/>
        <family val="2"/>
      </rPr>
      <t>are 16 bit MS-DOS compiles that were run on DosBox 0.74 Emulator as native 64 bit Windows cannot run them anymore.</t>
    </r>
  </si>
  <si>
    <r>
      <rPr>
        <sz val="12"/>
        <rFont val="Arial"/>
        <family val="2"/>
      </rPr>
      <t xml:space="preserve">* </t>
    </r>
    <r>
      <rPr>
        <b/>
        <sz val="8"/>
        <color indexed="17"/>
        <rFont val="Arial"/>
        <family val="2"/>
      </rPr>
      <t xml:space="preserve">GUI </t>
    </r>
    <r>
      <rPr>
        <sz val="12"/>
        <rFont val="Arial"/>
        <family val="2"/>
      </rPr>
      <t xml:space="preserve">means that this program has a graphical user interface; </t>
    </r>
    <r>
      <rPr>
        <sz val="12"/>
        <color rgb="FFFF0000"/>
        <rFont val="Arial"/>
        <family val="2"/>
      </rPr>
      <t>◦</t>
    </r>
    <r>
      <rPr>
        <sz val="12"/>
        <rFont val="Arial"/>
        <family val="2"/>
      </rPr>
      <t xml:space="preserve"> means it doesn't have a graphical user interface.</t>
    </r>
  </si>
  <si>
    <r>
      <t xml:space="preserve">* </t>
    </r>
    <r>
      <rPr>
        <sz val="12"/>
        <color rgb="FF0000FF"/>
        <rFont val="Arial Unicode MS"/>
        <family val="2"/>
      </rPr>
      <t>blue colored result</t>
    </r>
    <r>
      <rPr>
        <sz val="12"/>
        <rFont val="Arial Unicode MS"/>
        <family val="2"/>
      </rPr>
      <t>s mean that the archive content cannot be restored losslessly.</t>
    </r>
  </si>
  <si>
    <t>UHARC 0.6b -mx/-m3 -mm+ 32 MB U. Herklotz</t>
  </si>
  <si>
    <t>UHARC 0.4 ('01) -mx/-m3 -mm+ 32 MB U. Herklotz</t>
  </si>
  <si>
    <t>Compressia 1.0b max, 15MB, english, solid</t>
  </si>
  <si>
    <t>PeaZip 3.3 .7z ultra + adv filters G. Tani</t>
  </si>
  <si>
    <t>PAQ7 (24.12.2005) -5 Matt Mahoney</t>
  </si>
  <si>
    <t>MTF + Elias Gamma</t>
  </si>
  <si>
    <t>.smi</t>
  </si>
  <si>
    <t xml:space="preserve">    test data license: public domain</t>
  </si>
  <si>
    <t>ZPAQ 6.15 -method 4 Matt Mahoney</t>
  </si>
  <si>
    <t>SMILE256 -e (2004) Andrew Frolov</t>
  </si>
  <si>
    <t>COMPROX 0.9.1b (2012) -b180 -f -m100 Zhang Li</t>
  </si>
  <si>
    <t>FLASHZIP 1.1.0 (2012) -r -s -mx3 -k7 -b1024</t>
  </si>
  <si>
    <t>SONG FORMATS (MODULE TRACKERS)</t>
  </si>
  <si>
    <t>http://modarchive.org/data/downloads.php?moduleid=167157#radix_-_yuki_satellites.xm</t>
  </si>
  <si>
    <t>XM (Fast Tracker Module) [4:26] [102 .WAV samples, 8-bit + 16-bit mono]</t>
  </si>
  <si>
    <t xml:space="preserve">  - converted to Renoise 2.8.1 format</t>
  </si>
  <si>
    <t xml:space="preserve">  - converted to OpenMPT 1.20 format</t>
  </si>
  <si>
    <t xml:space="preserve">  - converted to Psycle 1.10 format</t>
  </si>
  <si>
    <t>MPTM (OpenMPT Module) [4:35] [47 .WAV samples, 16-bit mono + stereo]</t>
  </si>
  <si>
    <t>http://sagamusix.de/download/starlit_night/mod/</t>
  </si>
  <si>
    <t xml:space="preserve">  - converted to MO3 2.4 lossless format</t>
  </si>
  <si>
    <t xml:space="preserve">  - converted to MadTracker 2.6 format</t>
  </si>
  <si>
    <r>
      <t xml:space="preserve">IT (Impulse Tracker Module) [12:18] </t>
    </r>
    <r>
      <rPr>
        <b/>
        <sz val="10"/>
        <rFont val="Arial"/>
        <family val="2"/>
      </rPr>
      <t>[37 .WAV samples, 16-bit mono + stereo]</t>
    </r>
  </si>
  <si>
    <t>STUFFIT 15 API 2.0.672.3563 (sitx) --comp-spec=11,25,2,1,+</t>
  </si>
  <si>
    <t>BSC 3.1.0 -b1024rsca -m8 -H28 -M255 I. Grebnov</t>
  </si>
  <si>
    <t>7-Zip 9.3.0 (lzma2, 96MB ultra) I. Pavlov</t>
  </si>
  <si>
    <t>http://sagamusix.de/download/discovery/mod/</t>
  </si>
  <si>
    <t>LZMA + PPMd + GRZip + TTA + delta 1.5</t>
  </si>
  <si>
    <t>IMAGE FORMATS (RAW Camera Images)</t>
  </si>
  <si>
    <t>http://img.photographyblog.com/reviews/canon_eos_7d/sample_images/canon_eos_7d_05.cr2</t>
  </si>
  <si>
    <t>http://img.photographyblog.com/reviews/nikon_d3x/sample_images/nikon_d3x_08.nef</t>
  </si>
  <si>
    <t>http://www.squeezechart.com/DSC00347.ARW</t>
  </si>
  <si>
    <t xml:space="preserve">  - converted to TIFF/deflate format</t>
  </si>
  <si>
    <t xml:space="preserve">  - converted to JPEG2000 lossless format</t>
  </si>
  <si>
    <t>ZPAQ 6.15 -method 4 2 Matt Mahoney</t>
  </si>
  <si>
    <r>
      <t xml:space="preserve">* </t>
    </r>
    <r>
      <rPr>
        <sz val="12"/>
        <color rgb="FFFF0000"/>
        <rFont val="Arial Unicode MS"/>
        <family val="2"/>
      </rPr>
      <t>red colored results</t>
    </r>
    <r>
      <rPr>
        <sz val="12"/>
        <rFont val="Arial Unicode MS"/>
        <family val="2"/>
      </rPr>
      <t xml:space="preserve"> mean that the input file cannot be restored bitwise identical.</t>
    </r>
  </si>
  <si>
    <t>STUFFIT 15 API 2.0.672.3563 (sitx) --comp-spec=11,27,2,1,+</t>
  </si>
  <si>
    <t xml:space="preserve">  - converted to PNG format</t>
  </si>
  <si>
    <t xml:space="preserve">  - converted to JPEG-XR format</t>
  </si>
  <si>
    <t>7-Zip 9.3.0 + m7zRepacker</t>
  </si>
  <si>
    <t>.RWZ RAWZOR 0.47 beta Sachin Garg</t>
  </si>
  <si>
    <t>NIKON D3X RAW Image (.NEF)</t>
  </si>
  <si>
    <t>SONY A55 RAW Image (.ARW)</t>
  </si>
  <si>
    <t>CANON EOS 7D RAW Image (.CR2)</t>
  </si>
  <si>
    <t>uncompressed</t>
  </si>
  <si>
    <t>SIGMA DP2 RAW image (.X3F)</t>
  </si>
  <si>
    <t>http://img.photographyblog.com/reviews/fujifilm_x_e1/sample_images/fujifilm_x_e1_20.raf</t>
  </si>
  <si>
    <t>FUJIFILM X E1 RAW image (.RAF)</t>
  </si>
  <si>
    <t>lossless JPEG variant</t>
  </si>
  <si>
    <t>lossless JPEG + filter</t>
  </si>
  <si>
    <t>OLYMPUS E-PM2 RAW image (.ORF)</t>
  </si>
  <si>
    <t>http://img.photographyblog.com/reviews/olympus_epm2/sample_images/olympus_epm2_16.orf</t>
  </si>
  <si>
    <t>http://www.squeezechart.com/SDIM1021.X3F</t>
  </si>
  <si>
    <t>compressed</t>
  </si>
  <si>
    <t>COMPROX 0.11.0 ('12) -b200 -F -f Zhang Li</t>
  </si>
  <si>
    <t>COMPROLZ 0.10.0 ('12) -b250 -F -f  Zhang Li</t>
  </si>
  <si>
    <t xml:space="preserve">  - converted to DNG 1.4 (cmp., not linear)</t>
  </si>
  <si>
    <t>ORIGINAL FILE unpacked</t>
  </si>
  <si>
    <t xml:space="preserve">ORIGINAL FILE unpacked </t>
  </si>
  <si>
    <t>.PDN Paint.net File Format</t>
  </si>
  <si>
    <t>.XCF GIMP 2.8.2 Image Format</t>
  </si>
  <si>
    <t>.PSP Paintshop Pro Image (LZ77) (Corel Corporation)</t>
  </si>
  <si>
    <t>Camera RAW</t>
  </si>
  <si>
    <t>.PFI PhotoFiltre Studio X 10.7.3 (01.12.2012)</t>
  </si>
  <si>
    <t>.TGA TARGA Format (RLE) (XnView 1.99.6)</t>
  </si>
  <si>
    <t>.TIFF/deflate Format (XnView 1.99.6)</t>
  </si>
  <si>
    <t>.PNG Format (LZ77) (XnView 1.99.6)</t>
  </si>
  <si>
    <t>.J2K JPEG2000 (Lossless) (XnView 1.99.6)</t>
  </si>
  <si>
    <t>.LWF LuraWave Format (lossless) (XnView 1.99.6)</t>
  </si>
  <si>
    <t>.KRO Kolor RAW Format  (XnView 1.99.6)</t>
  </si>
  <si>
    <t>.IFF Explore (TDI) &amp; Maya File Format (RLE) (XnView 1.99.6)</t>
  </si>
  <si>
    <t>.PIC Softimage File Format (RLE) (XnView 1.99.6)</t>
  </si>
  <si>
    <t>.RGB Silicon Graphics File Format (RLE) (XnView 1.99.6)</t>
  </si>
  <si>
    <t>.TIFF/packbits (lossless) (XnView 1.99.6)</t>
  </si>
  <si>
    <t>.PCX Zsoft Publisher's Paintbrush Format (RLE) (XnView 1.99.6)</t>
  </si>
  <si>
    <t>.RWZ RAWZOR 0.47 (lossless) Sachin Garg 2010</t>
  </si>
  <si>
    <t>.BMP Windows Bitmap (RLE) (XnView 1.99.6)</t>
  </si>
  <si>
    <t>.TIFF (uncompressed) (XnView 1.99.6)</t>
  </si>
  <si>
    <t>.GIF GIF89a (XnView 1.99.6)</t>
  </si>
  <si>
    <t>.TIFF/lzw + predictor Format (XnView 1.99.6)</t>
  </si>
  <si>
    <t>.TIFF/lzw Format (XnView 1.99.6)</t>
  </si>
  <si>
    <t>.SLI StudioLine Photo Classic 3 Plus</t>
  </si>
  <si>
    <t>.MPZ MyPhotoZip 1.50 (04.04.2003) lossless</t>
  </si>
  <si>
    <t>Revision 8.0 (Web Version)</t>
  </si>
  <si>
    <t>WinRK 3.1.2 (ROLZ-2 650 MB) M. Taylor</t>
  </si>
  <si>
    <t>.BIM Lossless Image Compressor 0.01 (13.01.2013) Ilya Muravyov</t>
  </si>
  <si>
    <t>QLIC Quick Lossless Image Compressor 1.demo (2013) Alex Ratushnyak</t>
  </si>
  <si>
    <t>LZR / PPM (o8, 768 MB) + filter</t>
  </si>
  <si>
    <t>RK 1.04.1a  -ts -T16384 -mx3 -M256 -sa -mwx -B12800</t>
  </si>
  <si>
    <t>info@squeezechart.com</t>
  </si>
  <si>
    <t>squeezechart@gmx.de</t>
  </si>
  <si>
    <r>
      <t xml:space="preserve">* </t>
    </r>
    <r>
      <rPr>
        <sz val="12"/>
        <color rgb="FF7030A0"/>
        <rFont val="Arial Unicode MS"/>
        <family val="2"/>
      </rPr>
      <t>lilac colored results</t>
    </r>
    <r>
      <rPr>
        <sz val="12"/>
        <rFont val="Arial Unicode MS"/>
        <family val="2"/>
      </rPr>
      <t xml:space="preserve"> in the row of 7-Zip, UHARC and Squeez mean that PPM was used for this testset.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</si>
</sst>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\ [$€-1]_-;\-* #,##0.00\ [$€-1]_-;_-* \-??\ [$€-1]_-"/>
    <numFmt numFmtId="165" formatCode="m/d/yy\ h:mm\ AM/PM;@"/>
    <numFmt numFmtId="166" formatCode="0.00000"/>
    <numFmt numFmtId="167" formatCode="0.0000"/>
    <numFmt numFmtId="168" formatCode="0.0000%"/>
    <numFmt numFmtId="169" formatCode="#,##0.0"/>
    <numFmt numFmtId="170" formatCode="#,##0.000"/>
    <numFmt numFmtId="171" formatCode="#,##0.000000"/>
    <numFmt numFmtId="172" formatCode="0.000"/>
    <numFmt numFmtId="173" formatCode="0.000000"/>
    <numFmt numFmtId="174" formatCode="[$-409]d\-mmm\-yyyy;@"/>
  </numFmts>
  <fonts count="1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10"/>
      <name val="Arial"/>
      <family val="2"/>
    </font>
    <font>
      <b/>
      <sz val="14"/>
      <name val="Arial"/>
      <family val="2"/>
    </font>
    <font>
      <sz val="11"/>
      <color indexed="8"/>
      <name val="Calibri"/>
      <family val="2"/>
    </font>
    <font>
      <sz val="18"/>
      <name val="Old English Text MT"/>
      <family val="4"/>
    </font>
    <font>
      <sz val="22"/>
      <name val="Old English Text MT"/>
      <family val="4"/>
    </font>
    <font>
      <sz val="8"/>
      <name val="Arial Narrow"/>
      <family val="2"/>
    </font>
    <font>
      <sz val="8"/>
      <name val="Arial"/>
      <family val="2"/>
    </font>
    <font>
      <sz val="6"/>
      <name val="Small Fonts"/>
      <family val="2"/>
    </font>
    <font>
      <sz val="14"/>
      <color indexed="10"/>
      <name val="Wingdings"/>
      <charset val="2"/>
    </font>
    <font>
      <sz val="48"/>
      <color indexed="52"/>
      <name val="Old English Text MT"/>
      <family val="4"/>
    </font>
    <font>
      <sz val="48"/>
      <color rgb="FFF4910C"/>
      <name val="Arial Unicode MS"/>
      <family val="2"/>
    </font>
    <font>
      <b/>
      <sz val="12"/>
      <name val="Arial Unicode MS"/>
      <family val="2"/>
    </font>
    <font>
      <sz val="12"/>
      <name val="Arial Unicode MS"/>
      <family val="2"/>
    </font>
    <font>
      <b/>
      <sz val="14"/>
      <color indexed="10"/>
      <name val="Arial Unicode MS"/>
      <family val="2"/>
    </font>
    <font>
      <sz val="14"/>
      <name val="Arial Unicode MS"/>
      <family val="2"/>
    </font>
    <font>
      <b/>
      <sz val="14"/>
      <name val="Arial Unicode MS"/>
      <family val="2"/>
    </font>
    <font>
      <sz val="14"/>
      <color indexed="10"/>
      <name val="Arial Unicode MS"/>
      <family val="2"/>
    </font>
    <font>
      <u/>
      <sz val="10"/>
      <color indexed="12"/>
      <name val="Arial"/>
      <family val="2"/>
    </font>
    <font>
      <b/>
      <sz val="14"/>
      <color indexed="8"/>
      <name val="Arial Unicode MS"/>
      <family val="2"/>
    </font>
    <font>
      <sz val="12"/>
      <color indexed="8"/>
      <name val="Arial Unicode MS"/>
      <family val="2"/>
    </font>
    <font>
      <sz val="12"/>
      <color indexed="10"/>
      <name val="Arial Unicode MS"/>
      <family val="2"/>
    </font>
    <font>
      <i/>
      <sz val="10"/>
      <color indexed="60"/>
      <name val="Arial Narrow"/>
      <family val="2"/>
    </font>
    <font>
      <b/>
      <sz val="10"/>
      <color indexed="10"/>
      <name val="Arial Narrow"/>
      <family val="2"/>
    </font>
    <font>
      <sz val="10"/>
      <name val="Arial Narrow"/>
      <family val="2"/>
    </font>
    <font>
      <sz val="6"/>
      <name val="Arial Narrow"/>
      <family val="2"/>
    </font>
    <font>
      <u/>
      <sz val="10"/>
      <color indexed="12"/>
      <name val="Arial Narrow"/>
      <family val="2"/>
    </font>
    <font>
      <sz val="10"/>
      <color indexed="10"/>
      <name val="Arial Narrow"/>
      <family val="2"/>
    </font>
    <font>
      <sz val="72"/>
      <color rgb="FFF4910C"/>
      <name val="Arial Unicode MS"/>
      <family val="2"/>
    </font>
    <font>
      <sz val="14"/>
      <color indexed="53"/>
      <name val="Arial Unicode MS"/>
      <family val="2"/>
    </font>
    <font>
      <b/>
      <sz val="10"/>
      <color indexed="10"/>
      <name val="BilboDisplay"/>
    </font>
    <font>
      <i/>
      <sz val="9"/>
      <color rgb="FFC00000"/>
      <name val="Arial Unicode MS"/>
      <family val="2"/>
    </font>
    <font>
      <i/>
      <sz val="10"/>
      <color rgb="FFC00000"/>
      <name val="Arial Narrow"/>
      <family val="2"/>
    </font>
    <font>
      <i/>
      <sz val="10"/>
      <color rgb="FFC00000"/>
      <name val="Arial Unicode MS"/>
      <family val="2"/>
    </font>
    <font>
      <sz val="10"/>
      <color indexed="10"/>
      <name val="Arial Unicode MS"/>
      <family val="2"/>
    </font>
    <font>
      <u/>
      <sz val="10"/>
      <color indexed="12"/>
      <name val="Avalon Quest"/>
    </font>
    <font>
      <u/>
      <sz val="8"/>
      <color indexed="12"/>
      <name val="Arial"/>
      <family val="2"/>
    </font>
    <font>
      <b/>
      <sz val="14"/>
      <name val="Arial Narrow"/>
      <family val="2"/>
    </font>
    <font>
      <b/>
      <sz val="10"/>
      <color indexed="8"/>
      <name val="Arial Unicode MS"/>
      <family val="2"/>
    </font>
    <font>
      <b/>
      <sz val="8"/>
      <color indexed="8"/>
      <name val="Arial"/>
      <family val="2"/>
    </font>
    <font>
      <b/>
      <sz val="12"/>
      <color indexed="8"/>
      <name val="Arial Unicode MS"/>
      <family val="2"/>
    </font>
    <font>
      <b/>
      <sz val="8"/>
      <color indexed="8"/>
      <name val="Arial Unicode MS"/>
      <family val="2"/>
    </font>
    <font>
      <b/>
      <sz val="8"/>
      <name val="Arial Unicode MS"/>
      <family val="2"/>
    </font>
    <font>
      <b/>
      <sz val="10"/>
      <name val="Arial Unicode MS"/>
      <family val="2"/>
    </font>
    <font>
      <b/>
      <sz val="8"/>
      <name val="Arial Narrow"/>
      <family val="2"/>
    </font>
    <font>
      <sz val="10"/>
      <name val="Arial Unicode MS"/>
      <family val="2"/>
    </font>
    <font>
      <b/>
      <sz val="8"/>
      <color indexed="8"/>
      <name val="Arial Narrow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indexed="8"/>
      <name val="Arial"/>
      <family val="2"/>
    </font>
    <font>
      <sz val="9"/>
      <name val="Arial"/>
      <family val="2"/>
    </font>
    <font>
      <b/>
      <sz val="36"/>
      <color rgb="FFF4910C"/>
      <name val="Arial Unicode MS"/>
      <family val="2"/>
    </font>
    <font>
      <u/>
      <sz val="12"/>
      <color indexed="12"/>
      <name val="Arial Unicode MS"/>
      <family val="2"/>
    </font>
    <font>
      <sz val="12"/>
      <color rgb="FFFF0000"/>
      <name val="Arial Unicode MS"/>
      <family val="2"/>
    </font>
    <font>
      <sz val="11"/>
      <color indexed="8"/>
      <name val="Arial"/>
      <family val="2"/>
    </font>
    <font>
      <sz val="14"/>
      <color rgb="FFFF0000"/>
      <name val="Arial"/>
      <family val="2"/>
    </font>
    <font>
      <b/>
      <sz val="12"/>
      <color theme="0"/>
      <name val="Arial Unicode MS"/>
      <family val="2"/>
    </font>
    <font>
      <b/>
      <sz val="10"/>
      <color indexed="10"/>
      <name val="Arial Unicode MS"/>
      <family val="2"/>
    </font>
    <font>
      <sz val="8"/>
      <color indexed="8"/>
      <name val="Arial Unicode MS"/>
      <family val="2"/>
    </font>
    <font>
      <sz val="6"/>
      <name val="Arial Unicode MS"/>
      <family val="2"/>
    </font>
    <font>
      <sz val="9"/>
      <name val="Arial Unicode MS"/>
      <family val="2"/>
    </font>
    <font>
      <b/>
      <sz val="11"/>
      <color indexed="12"/>
      <name val="Arial Unicode MS"/>
      <family val="2"/>
    </font>
    <font>
      <b/>
      <sz val="11"/>
      <color indexed="8"/>
      <name val="Arial Unicode MS"/>
      <family val="2"/>
    </font>
    <font>
      <sz val="10"/>
      <color indexed="8"/>
      <name val="Arial Unicode MS"/>
      <family val="2"/>
    </font>
    <font>
      <b/>
      <sz val="11"/>
      <name val="Arial Unicode MS"/>
      <family val="2"/>
    </font>
    <font>
      <sz val="8"/>
      <name val="Arial Unicode MS"/>
      <family val="2"/>
    </font>
    <font>
      <u/>
      <sz val="10"/>
      <color indexed="12"/>
      <name val="Arial Unicode MS"/>
      <family val="2"/>
    </font>
    <font>
      <i/>
      <sz val="11"/>
      <color theme="9" tint="-0.499984740745262"/>
      <name val="Arial"/>
      <family val="2"/>
    </font>
    <font>
      <i/>
      <sz val="14"/>
      <color theme="9" tint="-0.499984740745262"/>
      <name val="Arial"/>
      <family val="2"/>
    </font>
    <font>
      <i/>
      <sz val="9"/>
      <color theme="9" tint="-0.499984740745262"/>
      <name val="Arial"/>
      <family val="2"/>
    </font>
    <font>
      <i/>
      <sz val="11"/>
      <color indexed="60"/>
      <name val="Arial"/>
      <family val="2"/>
    </font>
    <font>
      <i/>
      <sz val="14"/>
      <color indexed="60"/>
      <name val="Arial"/>
      <family val="2"/>
    </font>
    <font>
      <b/>
      <sz val="9"/>
      <name val="Arial"/>
      <family val="2"/>
    </font>
    <font>
      <b/>
      <sz val="10"/>
      <name val="Courier New"/>
      <family val="3"/>
    </font>
    <font>
      <sz val="48"/>
      <color rgb="FFF0A010"/>
      <name val="Old English Text MT"/>
      <family val="4"/>
    </font>
    <font>
      <i/>
      <sz val="12"/>
      <name val="Arial Unicode MS"/>
      <family val="2"/>
    </font>
    <font>
      <b/>
      <vertAlign val="superscript"/>
      <sz val="12"/>
      <color indexed="8"/>
      <name val="Arial Unicode MS"/>
      <family val="2"/>
    </font>
    <font>
      <u/>
      <sz val="11"/>
      <color theme="10"/>
      <name val="Calibri"/>
      <family val="2"/>
    </font>
    <font>
      <sz val="22"/>
      <name val="Arial Unicode MS"/>
      <family val="2"/>
    </font>
    <font>
      <sz val="22"/>
      <color theme="1"/>
      <name val="Calibri"/>
      <family val="2"/>
      <scheme val="minor"/>
    </font>
    <font>
      <b/>
      <sz val="12"/>
      <color rgb="FF0000FF"/>
      <name val="Arial Unicode MS"/>
      <family val="2"/>
    </font>
    <font>
      <u/>
      <sz val="8"/>
      <color indexed="12"/>
      <name val="Arial Unicode MS"/>
      <family val="2"/>
    </font>
    <font>
      <b/>
      <sz val="9"/>
      <color indexed="8"/>
      <name val="Arial Unicode MS"/>
      <family val="2"/>
    </font>
    <font>
      <sz val="11"/>
      <name val="Calibri"/>
      <family val="2"/>
      <scheme val="minor"/>
    </font>
    <font>
      <b/>
      <i/>
      <sz val="10"/>
      <name val="Arial Unicode MS"/>
      <family val="2"/>
    </font>
    <font>
      <sz val="48"/>
      <color rgb="FFF4910C"/>
      <name val="Old English Text MT"/>
      <family val="4"/>
    </font>
    <font>
      <sz val="36"/>
      <color rgb="FFF4910C"/>
      <name val="Old English Text MT"/>
      <family val="4"/>
    </font>
    <font>
      <i/>
      <sz val="10"/>
      <color indexed="8"/>
      <name val="Arial Unicode MS"/>
      <family val="2"/>
    </font>
    <font>
      <i/>
      <sz val="10"/>
      <name val="Arial"/>
      <family val="2"/>
    </font>
    <font>
      <i/>
      <sz val="10"/>
      <color theme="1" tint="0.499984740745262"/>
      <name val="Arial Unicode MS"/>
      <family val="2"/>
    </font>
    <font>
      <sz val="10"/>
      <color theme="1" tint="0.499984740745262"/>
      <name val="Arial"/>
      <family val="2"/>
    </font>
    <font>
      <b/>
      <sz val="18"/>
      <color indexed="12"/>
      <name val="Arial Unicode MS"/>
      <family val="2"/>
    </font>
    <font>
      <u/>
      <sz val="14"/>
      <color indexed="12"/>
      <name val="Arial Unicode MS"/>
      <family val="2"/>
    </font>
    <font>
      <b/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b/>
      <sz val="10"/>
      <color rgb="FFFF0000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name val="Arial Unicode MS"/>
      <family val="2"/>
    </font>
    <font>
      <sz val="11"/>
      <color indexed="9"/>
      <name val="BilboDisplay"/>
    </font>
    <font>
      <sz val="14"/>
      <color indexed="10"/>
      <name val="Arial"/>
      <family val="2"/>
    </font>
    <font>
      <sz val="10"/>
      <color rgb="FFFF0000"/>
      <name val="Arial Unicode MS"/>
      <family val="2"/>
    </font>
    <font>
      <sz val="11"/>
      <color indexed="10"/>
      <name val="BilboDisplay"/>
    </font>
    <font>
      <sz val="11"/>
      <color indexed="10"/>
      <name val="Arial"/>
      <family val="2"/>
    </font>
    <font>
      <b/>
      <sz val="8"/>
      <color indexed="9"/>
      <name val="Arial"/>
      <family val="2"/>
    </font>
    <font>
      <b/>
      <sz val="12"/>
      <name val="Arial Unicode MS"/>
      <family val="2"/>
    </font>
    <font>
      <sz val="10"/>
      <color theme="0" tint="-0.499984740745262"/>
      <name val="Arial Unicode MS"/>
      <family val="2"/>
    </font>
    <font>
      <sz val="12"/>
      <color theme="0" tint="-0.499984740745262"/>
      <name val="Arial Unicode MS"/>
      <family val="2"/>
    </font>
    <font>
      <u/>
      <sz val="10"/>
      <color theme="0" tint="-0.499984740745262"/>
      <name val="Arial"/>
      <family val="2"/>
    </font>
    <font>
      <sz val="12"/>
      <name val="Arial Unicode MS"/>
      <family val="2"/>
    </font>
    <font>
      <b/>
      <sz val="12"/>
      <color rgb="FF0000FF"/>
      <name val="Arial Unicode MS"/>
      <family val="2"/>
    </font>
    <font>
      <sz val="10"/>
      <color rgb="FF0000FF"/>
      <name val="Arial Unicode MS"/>
      <family val="2"/>
    </font>
    <font>
      <sz val="10"/>
      <color rgb="FF000000"/>
      <name val="Arial1"/>
    </font>
    <font>
      <b/>
      <sz val="12"/>
      <name val="Arial"/>
      <family val="2"/>
    </font>
    <font>
      <b/>
      <sz val="10"/>
      <color indexed="8"/>
      <name val="Arial Black"/>
      <family val="2"/>
    </font>
    <font>
      <sz val="12"/>
      <color rgb="FFFF0000"/>
      <name val="Arial Unicode MS"/>
      <family val="2"/>
    </font>
    <font>
      <sz val="36"/>
      <color rgb="FFF4910C"/>
      <name val="Arial Unicode MS"/>
      <family val="2"/>
    </font>
    <font>
      <sz val="8"/>
      <color theme="0" tint="-0.14999847407452621"/>
      <name val="Arial"/>
      <family val="2"/>
    </font>
    <font>
      <sz val="8"/>
      <color rgb="FF0000FF"/>
      <name val="Arial Unicode MS"/>
      <family val="2"/>
    </font>
    <font>
      <b/>
      <sz val="18"/>
      <name val="Arial Unicode MS"/>
      <family val="2"/>
    </font>
    <font>
      <sz val="18"/>
      <name val="Calibri"/>
      <family val="2"/>
      <scheme val="minor"/>
    </font>
    <font>
      <sz val="8"/>
      <color theme="0"/>
      <name val="Arial"/>
      <family val="2"/>
    </font>
    <font>
      <sz val="8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u/>
      <sz val="10"/>
      <color theme="0" tint="-0.499984740745262"/>
      <name val="Arial"/>
      <family val="2"/>
    </font>
    <font>
      <sz val="12"/>
      <name val="Arial"/>
      <family val="2"/>
    </font>
    <font>
      <u/>
      <sz val="11"/>
      <color indexed="12"/>
      <name val="Arial"/>
      <family val="2"/>
    </font>
    <font>
      <sz val="11"/>
      <color rgb="FF0000FF"/>
      <name val="Arial"/>
      <family val="2"/>
    </font>
    <font>
      <sz val="11"/>
      <color rgb="FFFF0000"/>
      <name val="Arial"/>
      <family val="2"/>
    </font>
    <font>
      <sz val="11"/>
      <color indexed="60"/>
      <name val="Arial"/>
      <family val="2"/>
    </font>
    <font>
      <b/>
      <i/>
      <sz val="11"/>
      <color indexed="60"/>
      <name val="Arial"/>
      <family val="2"/>
    </font>
    <font>
      <b/>
      <sz val="11"/>
      <color indexed="12"/>
      <name val="Arial"/>
      <family val="2"/>
    </font>
    <font>
      <sz val="11"/>
      <color indexed="12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i/>
      <sz val="11"/>
      <color indexed="16"/>
      <name val="Arial"/>
      <family val="2"/>
    </font>
    <font>
      <i/>
      <sz val="11"/>
      <name val="Arial"/>
      <family val="2"/>
    </font>
    <font>
      <i/>
      <sz val="11"/>
      <color rgb="FF0000FF"/>
      <name val="Arial"/>
      <family val="2"/>
    </font>
    <font>
      <sz val="11"/>
      <color indexed="16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u/>
      <sz val="11"/>
      <color rgb="FF0000FF"/>
      <name val="Arial"/>
      <family val="2"/>
    </font>
    <font>
      <b/>
      <sz val="11"/>
      <color rgb="FFFF0000"/>
      <name val="Arial"/>
      <family val="2"/>
    </font>
    <font>
      <b/>
      <sz val="8"/>
      <color indexed="17"/>
      <name val="Arial"/>
      <family val="2"/>
    </font>
    <font>
      <b/>
      <sz val="8"/>
      <color rgb="FF008000"/>
      <name val="Arial"/>
      <family val="2"/>
    </font>
    <font>
      <sz val="12"/>
      <color theme="0" tint="-0.499984740745262"/>
      <name val="Arial Unicode MS"/>
      <family val="2"/>
    </font>
    <font>
      <sz val="12"/>
      <color rgb="FFFF0000"/>
      <name val="Arial"/>
      <family val="2"/>
    </font>
    <font>
      <sz val="12"/>
      <color rgb="FF0000FF"/>
      <name val="Arial Unicode MS"/>
      <family val="2"/>
    </font>
    <font>
      <sz val="12"/>
      <color rgb="FF7030A0"/>
      <name val="Arial Unicode MS"/>
      <family val="2"/>
    </font>
    <font>
      <b/>
      <sz val="16"/>
      <name val="Arial"/>
      <family val="2"/>
    </font>
    <font>
      <sz val="10"/>
      <color theme="0" tint="-0.249977111117893"/>
      <name val="Arial Unicode MS"/>
      <family val="2"/>
    </font>
    <font>
      <sz val="10"/>
      <color rgb="FF7030A0"/>
      <name val="Arial Unicode MS"/>
      <family val="2"/>
    </font>
    <font>
      <b/>
      <sz val="10"/>
      <color rgb="FFFF0000"/>
      <name val="Arial Unicode MS"/>
      <family val="2"/>
    </font>
    <font>
      <u/>
      <sz val="10"/>
      <color rgb="FFFF0000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CC2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auto="1"/>
      </patternFill>
    </fill>
    <fill>
      <patternFill patternType="solid">
        <fgColor rgb="FFFFFF99"/>
        <bgColor indexed="31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indexed="27"/>
      </patternFill>
    </fill>
    <fill>
      <gradientFill degree="90">
        <stop position="0">
          <color rgb="FFFAC498"/>
        </stop>
        <stop position="1">
          <color rgb="FFCCFFCC"/>
        </stop>
      </gradientFill>
    </fill>
    <fill>
      <patternFill patternType="solid">
        <fgColor rgb="FFCCFFCC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indexed="27"/>
      </patternFill>
    </fill>
    <fill>
      <patternFill patternType="solid">
        <fgColor rgb="FFCCFFCC"/>
        <bgColor indexed="22"/>
      </patternFill>
    </fill>
    <fill>
      <patternFill patternType="solid">
        <fgColor rgb="FFCCFFCC"/>
        <bgColor indexed="31"/>
      </patternFill>
    </fill>
    <fill>
      <patternFill patternType="solid">
        <fgColor rgb="FFCCFFCC"/>
        <bgColor auto="1"/>
      </patternFill>
    </fill>
    <fill>
      <patternFill patternType="solid">
        <fgColor indexed="42"/>
        <bgColor indexed="31"/>
      </patternFill>
    </fill>
    <fill>
      <patternFill patternType="solid">
        <fgColor rgb="FF99CCFF"/>
        <bgColor indexed="31"/>
      </patternFill>
    </fill>
    <fill>
      <gradientFill degree="90">
        <stop position="0">
          <color rgb="FFCCFFCC"/>
        </stop>
        <stop position="1">
          <color rgb="FF99CCFF"/>
        </stop>
      </gradientFill>
    </fill>
    <fill>
      <patternFill patternType="solid">
        <fgColor rgb="FF99CCFF"/>
        <bgColor auto="1"/>
      </patternFill>
    </fill>
    <fill>
      <patternFill patternType="solid">
        <fgColor rgb="FF99CCFF"/>
        <bgColor indexed="64"/>
      </patternFill>
    </fill>
    <fill>
      <patternFill patternType="solid">
        <fgColor rgb="FF99CCFF"/>
        <bgColor indexed="27"/>
      </patternFill>
    </fill>
    <fill>
      <patternFill patternType="solid">
        <fgColor indexed="44"/>
        <bgColor indexed="64"/>
      </patternFill>
    </fill>
    <fill>
      <patternFill patternType="solid">
        <fgColor indexed="44"/>
        <bgColor indexed="60"/>
      </patternFill>
    </fill>
    <fill>
      <patternFill patternType="solid">
        <fgColor rgb="FF99CCFF"/>
        <bgColor indexed="26"/>
      </patternFill>
    </fill>
    <fill>
      <patternFill patternType="solid">
        <fgColor rgb="FFFF0000"/>
        <bgColor indexed="31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60"/>
      </patternFill>
    </fill>
    <fill>
      <patternFill patternType="solid">
        <fgColor rgb="FFFF0000"/>
        <bgColor indexed="27"/>
      </patternFill>
    </fill>
    <fill>
      <patternFill patternType="solid">
        <fgColor rgb="FFFF0000"/>
        <bgColor indexed="26"/>
      </patternFill>
    </fill>
    <fill>
      <patternFill patternType="solid">
        <fgColor rgb="FFFFFF00"/>
        <bgColor indexed="49"/>
      </patternFill>
    </fill>
    <fill>
      <patternFill patternType="solid">
        <fgColor rgb="FFFFCC99"/>
        <bgColor indexed="26"/>
      </patternFill>
    </fill>
    <fill>
      <patternFill patternType="solid">
        <fgColor rgb="FFFFCC99"/>
        <bgColor indexed="31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7"/>
      </patternFill>
    </fill>
    <fill>
      <patternFill patternType="solid">
        <fgColor rgb="FFFFCC99"/>
        <bgColor indexed="22"/>
      </patternFill>
    </fill>
    <fill>
      <patternFill patternType="solid">
        <fgColor rgb="FFFFCC00"/>
        <bgColor indexed="64"/>
      </patternFill>
    </fill>
    <fill>
      <gradientFill degree="90">
        <stop position="0">
          <color rgb="FFFFFF99"/>
        </stop>
        <stop position="1">
          <color rgb="FFFFCC99"/>
        </stop>
      </gradientFill>
    </fill>
    <fill>
      <patternFill patternType="solid">
        <fgColor rgb="FFFFC00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22"/>
      </patternFill>
    </fill>
    <fill>
      <gradientFill degree="90">
        <stop position="0">
          <color rgb="FFFFCC99"/>
        </stop>
        <stop position="1">
          <color rgb="FFCCFFCC"/>
        </stop>
      </gradientFill>
    </fill>
    <fill>
      <gradientFill degree="90">
        <stop position="0">
          <color theme="0"/>
        </stop>
        <stop position="1">
          <color rgb="FFFFFF99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rgb="FFFFCC00"/>
        <bgColor indexed="31"/>
      </patternFill>
    </fill>
    <fill>
      <patternFill patternType="solid">
        <fgColor rgb="FFFFCC00"/>
        <bgColor indexed="27"/>
      </patternFill>
    </fill>
    <fill>
      <patternFill patternType="solid">
        <fgColor rgb="FFFFCC00"/>
        <bgColor indexed="13"/>
      </patternFill>
    </fill>
    <fill>
      <patternFill patternType="solid">
        <fgColor rgb="FF99CCFF"/>
        <bgColor indexed="60"/>
      </patternFill>
    </fill>
    <fill>
      <patternFill patternType="solid">
        <fgColor rgb="FFFFFF00"/>
        <bgColor indexed="31"/>
      </patternFill>
    </fill>
    <fill>
      <patternFill patternType="solid">
        <fgColor rgb="FFFFFF00"/>
        <bgColor indexed="60"/>
      </patternFill>
    </fill>
    <fill>
      <patternFill patternType="solid">
        <fgColor rgb="FF99CCFF"/>
        <bgColor indexed="13"/>
      </patternFill>
    </fill>
    <fill>
      <patternFill patternType="solid">
        <fgColor rgb="FFFFC000"/>
        <bgColor indexed="27"/>
      </patternFill>
    </fill>
  </fills>
  <borders count="36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ck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ck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ck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ck">
        <color indexed="8"/>
      </right>
      <top style="thin">
        <color indexed="8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ck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ck">
        <color indexed="8"/>
      </right>
      <top style="thin">
        <color indexed="8"/>
      </top>
      <bottom/>
      <diagonal/>
    </border>
    <border>
      <left style="thick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ck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8">
    <xf numFmtId="0" fontId="0" fillId="0" borderId="0"/>
    <xf numFmtId="0" fontId="2" fillId="0" borderId="0"/>
    <xf numFmtId="164" fontId="2" fillId="0" borderId="0" applyFill="0" applyBorder="0" applyAlignment="0" applyProtection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</cellStyleXfs>
  <cellXfs count="3188">
    <xf numFmtId="0" fontId="0" fillId="0" borderId="0" xfId="0"/>
    <xf numFmtId="0" fontId="2" fillId="0" borderId="0" xfId="1"/>
    <xf numFmtId="0" fontId="9" fillId="0" borderId="0" xfId="1" applyFont="1"/>
    <xf numFmtId="0" fontId="10" fillId="0" borderId="0" xfId="1" applyFont="1"/>
    <xf numFmtId="0" fontId="10" fillId="0" borderId="0" xfId="1" applyFont="1" applyAlignment="1">
      <alignment horizontal="right"/>
    </xf>
    <xf numFmtId="0" fontId="2" fillId="0" borderId="0" xfId="1" applyFill="1"/>
    <xf numFmtId="0" fontId="2" fillId="0" borderId="0" xfId="1" applyFill="1" applyAlignment="1"/>
    <xf numFmtId="0" fontId="2" fillId="0" borderId="0" xfId="1" applyFill="1" applyBorder="1"/>
    <xf numFmtId="3" fontId="17" fillId="0" borderId="0" xfId="1" applyNumberFormat="1" applyFont="1" applyFill="1" applyBorder="1" applyAlignment="1">
      <alignment horizontal="center"/>
    </xf>
    <xf numFmtId="0" fontId="18" fillId="0" borderId="0" xfId="1" applyFont="1" applyFill="1" applyBorder="1"/>
    <xf numFmtId="0" fontId="19" fillId="0" borderId="0" xfId="1" applyFont="1" applyFill="1" applyBorder="1"/>
    <xf numFmtId="0" fontId="20" fillId="0" borderId="0" xfId="1" applyFont="1" applyFill="1" applyBorder="1"/>
    <xf numFmtId="0" fontId="22" fillId="0" borderId="0" xfId="1" applyFont="1" applyFill="1" applyBorder="1"/>
    <xf numFmtId="0" fontId="20" fillId="0" borderId="8" xfId="1" applyFont="1" applyFill="1" applyBorder="1"/>
    <xf numFmtId="0" fontId="28" fillId="0" borderId="0" xfId="1" applyFont="1" applyFill="1" applyAlignment="1">
      <alignment vertical="top"/>
    </xf>
    <xf numFmtId="0" fontId="30" fillId="0" borderId="0" xfId="1" applyFont="1" applyFill="1" applyAlignment="1"/>
    <xf numFmtId="0" fontId="31" fillId="0" borderId="0" xfId="15" applyNumberFormat="1" applyFont="1" applyFill="1" applyBorder="1" applyAlignment="1" applyProtection="1"/>
    <xf numFmtId="0" fontId="29" fillId="0" borderId="0" xfId="1" applyFont="1" applyFill="1"/>
    <xf numFmtId="0" fontId="32" fillId="0" borderId="0" xfId="1" applyFont="1" applyFill="1" applyAlignment="1"/>
    <xf numFmtId="0" fontId="32" fillId="0" borderId="0" xfId="1" applyFont="1" applyFill="1" applyAlignment="1">
      <alignment vertical="top"/>
    </xf>
    <xf numFmtId="165" fontId="6" fillId="0" borderId="0" xfId="1" applyNumberFormat="1" applyFont="1" applyFill="1" applyAlignment="1">
      <alignment horizontal="left"/>
    </xf>
    <xf numFmtId="0" fontId="34" fillId="0" borderId="0" xfId="1" applyFont="1" applyFill="1" applyAlignment="1">
      <alignment vertical="center"/>
    </xf>
    <xf numFmtId="0" fontId="35" fillId="0" borderId="0" xfId="1" applyFont="1" applyFill="1" applyAlignment="1">
      <alignment vertical="top"/>
    </xf>
    <xf numFmtId="0" fontId="23" fillId="0" borderId="0" xfId="15" applyNumberFormat="1" applyFill="1" applyBorder="1" applyAlignment="1" applyProtection="1"/>
    <xf numFmtId="0" fontId="36" fillId="0" borderId="0" xfId="1" applyFont="1" applyFill="1" applyAlignment="1">
      <alignment vertical="center"/>
    </xf>
    <xf numFmtId="0" fontId="37" fillId="0" borderId="0" xfId="15" applyNumberFormat="1" applyFont="1" applyFill="1" applyBorder="1" applyAlignment="1" applyProtection="1">
      <alignment vertical="center"/>
    </xf>
    <xf numFmtId="0" fontId="38" fillId="0" borderId="0" xfId="15" applyNumberFormat="1" applyFont="1" applyFill="1" applyBorder="1" applyAlignment="1" applyProtection="1">
      <alignment vertical="center"/>
    </xf>
    <xf numFmtId="0" fontId="39" fillId="0" borderId="0" xfId="1" applyFont="1" applyFill="1" applyAlignment="1"/>
    <xf numFmtId="0" fontId="38" fillId="0" borderId="0" xfId="1" applyFont="1" applyFill="1" applyAlignment="1">
      <alignment vertical="center"/>
    </xf>
    <xf numFmtId="0" fontId="27" fillId="0" borderId="0" xfId="1" applyFont="1" applyFill="1" applyBorder="1" applyAlignment="1">
      <alignment horizontal="left"/>
    </xf>
    <xf numFmtId="0" fontId="36" fillId="0" borderId="0" xfId="1" applyFont="1" applyFill="1" applyAlignment="1">
      <alignment horizontal="left" vertical="center"/>
    </xf>
    <xf numFmtId="0" fontId="40" fillId="0" borderId="0" xfId="15" applyNumberFormat="1" applyFont="1" applyFill="1" applyBorder="1" applyAlignment="1" applyProtection="1"/>
    <xf numFmtId="0" fontId="13" fillId="0" borderId="0" xfId="1" applyFont="1" applyFill="1" applyAlignment="1"/>
    <xf numFmtId="0" fontId="41" fillId="0" borderId="0" xfId="15" applyNumberFormat="1" applyFont="1" applyFill="1" applyBorder="1" applyAlignment="1" applyProtection="1">
      <alignment horizontal="center" vertical="center"/>
    </xf>
    <xf numFmtId="0" fontId="42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/>
    </xf>
    <xf numFmtId="0" fontId="2" fillId="0" borderId="10" xfId="1" applyFill="1" applyBorder="1" applyAlignment="1"/>
    <xf numFmtId="0" fontId="2" fillId="0" borderId="11" xfId="1" applyFill="1" applyBorder="1"/>
    <xf numFmtId="0" fontId="43" fillId="0" borderId="12" xfId="1" applyFont="1" applyFill="1" applyBorder="1" applyAlignment="1">
      <alignment horizontal="center" vertical="center"/>
    </xf>
    <xf numFmtId="0" fontId="45" fillId="0" borderId="14" xfId="1" applyFont="1" applyFill="1" applyBorder="1" applyAlignment="1">
      <alignment horizontal="center" vertical="center"/>
    </xf>
    <xf numFmtId="166" fontId="45" fillId="0" borderId="15" xfId="1" applyNumberFormat="1" applyFont="1" applyFill="1" applyBorder="1" applyAlignment="1">
      <alignment horizontal="center" vertical="center"/>
    </xf>
    <xf numFmtId="14" fontId="11" fillId="0" borderId="0" xfId="1" applyNumberFormat="1" applyFont="1" applyFill="1" applyAlignment="1">
      <alignment vertical="center"/>
    </xf>
    <xf numFmtId="0" fontId="2" fillId="0" borderId="17" xfId="1" applyFill="1" applyBorder="1"/>
    <xf numFmtId="0" fontId="43" fillId="0" borderId="0" xfId="1" applyFont="1" applyFill="1" applyBorder="1" applyAlignment="1">
      <alignment horizontal="center" vertical="center"/>
    </xf>
    <xf numFmtId="167" fontId="48" fillId="0" borderId="0" xfId="1" applyNumberFormat="1" applyFont="1" applyFill="1" applyBorder="1" applyAlignment="1">
      <alignment horizontal="center" vertical="center"/>
    </xf>
    <xf numFmtId="168" fontId="48" fillId="0" borderId="0" xfId="1" applyNumberFormat="1" applyFont="1" applyFill="1" applyBorder="1" applyAlignment="1">
      <alignment horizontal="center" vertical="center"/>
    </xf>
    <xf numFmtId="0" fontId="2" fillId="0" borderId="0" xfId="1" applyFill="1" applyAlignment="1">
      <alignment vertical="center"/>
    </xf>
    <xf numFmtId="0" fontId="53" fillId="0" borderId="0" xfId="1" applyFont="1" applyFill="1" applyBorder="1" applyAlignment="1">
      <alignment horizontal="left" vertical="center"/>
    </xf>
    <xf numFmtId="0" fontId="12" fillId="0" borderId="0" xfId="1" applyFont="1" applyAlignment="1">
      <alignment horizontal="center" vertical="center"/>
    </xf>
    <xf numFmtId="0" fontId="52" fillId="0" borderId="0" xfId="1" applyFont="1" applyFill="1" applyBorder="1" applyAlignment="1">
      <alignment horizontal="left" vertical="center"/>
    </xf>
    <xf numFmtId="166" fontId="44" fillId="0" borderId="0" xfId="1" applyNumberFormat="1" applyFont="1" applyFill="1" applyBorder="1" applyAlignment="1">
      <alignment horizontal="left" vertical="center"/>
    </xf>
    <xf numFmtId="166" fontId="5" fillId="0" borderId="0" xfId="1" applyNumberFormat="1" applyFont="1" applyFill="1" applyBorder="1" applyAlignment="1">
      <alignment horizontal="left" vertical="center"/>
    </xf>
    <xf numFmtId="3" fontId="18" fillId="0" borderId="41" xfId="1" applyNumberFormat="1" applyFont="1" applyFill="1" applyBorder="1" applyAlignment="1">
      <alignment horizontal="left" vertical="center"/>
    </xf>
    <xf numFmtId="166" fontId="44" fillId="0" borderId="0" xfId="1" applyNumberFormat="1" applyFont="1" applyFill="1" applyBorder="1" applyAlignment="1">
      <alignment horizontal="center" vertical="center"/>
    </xf>
    <xf numFmtId="0" fontId="64" fillId="0" borderId="40" xfId="1" applyFont="1" applyFill="1" applyBorder="1" applyAlignment="1">
      <alignment horizontal="center"/>
    </xf>
    <xf numFmtId="3" fontId="54" fillId="0" borderId="0" xfId="1" applyNumberFormat="1" applyFont="1" applyFill="1" applyBorder="1" applyAlignment="1">
      <alignment horizontal="center" vertical="center"/>
    </xf>
    <xf numFmtId="0" fontId="54" fillId="0" borderId="0" xfId="1" applyFont="1" applyFill="1" applyBorder="1" applyAlignment="1">
      <alignment horizontal="left" vertical="center"/>
    </xf>
    <xf numFmtId="169" fontId="18" fillId="0" borderId="0" xfId="1" applyNumberFormat="1" applyFont="1" applyFill="1" applyBorder="1" applyAlignment="1">
      <alignment horizontal="right" vertical="center"/>
    </xf>
    <xf numFmtId="3" fontId="64" fillId="0" borderId="0" xfId="1" applyNumberFormat="1" applyFont="1" applyFill="1" applyBorder="1" applyAlignment="1">
      <alignment horizontal="center" vertical="center"/>
    </xf>
    <xf numFmtId="0" fontId="26" fillId="0" borderId="40" xfId="1" applyFont="1" applyFill="1" applyBorder="1" applyAlignment="1">
      <alignment horizontal="center" vertical="center"/>
    </xf>
    <xf numFmtId="0" fontId="26" fillId="0" borderId="9" xfId="1" applyFont="1" applyFill="1" applyBorder="1" applyAlignment="1">
      <alignment horizontal="center" vertical="center"/>
    </xf>
    <xf numFmtId="0" fontId="25" fillId="0" borderId="40" xfId="1" applyFont="1" applyFill="1" applyBorder="1" applyAlignment="1">
      <alignment horizontal="center" vertical="center"/>
    </xf>
    <xf numFmtId="0" fontId="25" fillId="0" borderId="9" xfId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>
      <alignment horizontal="center" vertical="center"/>
    </xf>
    <xf numFmtId="0" fontId="18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3" fontId="52" fillId="0" borderId="0" xfId="1" applyNumberFormat="1" applyFont="1" applyFill="1" applyBorder="1" applyAlignment="1">
      <alignment horizontal="center" vertical="center"/>
    </xf>
    <xf numFmtId="167" fontId="44" fillId="0" borderId="0" xfId="1" applyNumberFormat="1" applyFont="1" applyFill="1" applyBorder="1" applyAlignment="1">
      <alignment horizontal="center" vertical="center"/>
    </xf>
    <xf numFmtId="167" fontId="52" fillId="0" borderId="0" xfId="1" applyNumberFormat="1" applyFont="1" applyFill="1" applyBorder="1" applyAlignment="1">
      <alignment horizontal="left" vertical="center"/>
    </xf>
    <xf numFmtId="3" fontId="49" fillId="0" borderId="0" xfId="1" applyNumberFormat="1" applyFont="1" applyFill="1" applyBorder="1" applyAlignment="1">
      <alignment horizontal="center" vertical="center"/>
    </xf>
    <xf numFmtId="3" fontId="7" fillId="0" borderId="0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vertical="center"/>
    </xf>
    <xf numFmtId="167" fontId="61" fillId="0" borderId="0" xfId="1" applyNumberFormat="1" applyFont="1" applyFill="1" applyAlignment="1">
      <alignment vertical="center"/>
    </xf>
    <xf numFmtId="0" fontId="68" fillId="0" borderId="0" xfId="1" applyFont="1" applyFill="1" applyBorder="1" applyAlignment="1">
      <alignment horizontal="left" vertical="center"/>
    </xf>
    <xf numFmtId="0" fontId="19" fillId="0" borderId="0" xfId="1" applyFont="1" applyFill="1" applyBorder="1" applyAlignment="1">
      <alignment horizontal="left" vertical="center"/>
    </xf>
    <xf numFmtId="3" fontId="69" fillId="0" borderId="0" xfId="1" applyNumberFormat="1" applyFont="1" applyFill="1" applyBorder="1" applyAlignment="1">
      <alignment horizontal="center" vertical="center"/>
    </xf>
    <xf numFmtId="167" fontId="46" fillId="0" borderId="0" xfId="1" applyNumberFormat="1" applyFont="1" applyFill="1" applyBorder="1" applyAlignment="1">
      <alignment horizontal="center" vertical="center"/>
    </xf>
    <xf numFmtId="166" fontId="46" fillId="0" borderId="0" xfId="1" applyNumberFormat="1" applyFont="1" applyFill="1" applyBorder="1" applyAlignment="1">
      <alignment horizontal="center" vertical="center"/>
    </xf>
    <xf numFmtId="166" fontId="46" fillId="0" borderId="0" xfId="1" applyNumberFormat="1" applyFont="1" applyFill="1" applyBorder="1" applyAlignment="1">
      <alignment horizontal="left" vertical="center"/>
    </xf>
    <xf numFmtId="166" fontId="24" fillId="0" borderId="0" xfId="1" applyNumberFormat="1" applyFont="1" applyFill="1" applyBorder="1" applyAlignment="1">
      <alignment horizontal="left" vertical="center"/>
    </xf>
    <xf numFmtId="0" fontId="69" fillId="0" borderId="0" xfId="1" applyFont="1" applyFill="1" applyBorder="1" applyAlignment="1">
      <alignment horizontal="left" vertical="center"/>
    </xf>
    <xf numFmtId="167" fontId="69" fillId="0" borderId="0" xfId="1" applyNumberFormat="1" applyFont="1" applyFill="1" applyBorder="1" applyAlignment="1">
      <alignment horizontal="left" vertical="center"/>
    </xf>
    <xf numFmtId="3" fontId="47" fillId="0" borderId="0" xfId="1" applyNumberFormat="1" applyFont="1" applyFill="1" applyBorder="1" applyAlignment="1">
      <alignment horizontal="center" vertical="center"/>
    </xf>
    <xf numFmtId="3" fontId="21" fillId="0" borderId="0" xfId="1" applyNumberFormat="1" applyFont="1" applyFill="1" applyBorder="1" applyAlignment="1">
      <alignment horizontal="center" vertical="center"/>
    </xf>
    <xf numFmtId="0" fontId="70" fillId="0" borderId="0" xfId="1" applyFont="1" applyFill="1" applyAlignment="1">
      <alignment vertical="center"/>
    </xf>
    <xf numFmtId="167" fontId="71" fillId="0" borderId="0" xfId="1" applyNumberFormat="1" applyFont="1" applyFill="1" applyAlignment="1">
      <alignment vertical="center"/>
    </xf>
    <xf numFmtId="0" fontId="20" fillId="0" borderId="0" xfId="1" applyFont="1" applyFill="1" applyAlignment="1">
      <alignment vertical="center"/>
    </xf>
    <xf numFmtId="0" fontId="50" fillId="0" borderId="0" xfId="1" applyFont="1" applyFill="1" applyAlignment="1">
      <alignment vertical="center"/>
    </xf>
    <xf numFmtId="167" fontId="50" fillId="0" borderId="0" xfId="1" applyNumberFormat="1" applyFont="1" applyFill="1" applyAlignment="1">
      <alignment vertical="center"/>
    </xf>
    <xf numFmtId="0" fontId="72" fillId="0" borderId="0" xfId="1" applyFont="1" applyFill="1" applyBorder="1" applyAlignment="1">
      <alignment horizontal="left" vertical="center"/>
    </xf>
    <xf numFmtId="0" fontId="50" fillId="0" borderId="52" xfId="1" applyFont="1" applyFill="1" applyBorder="1" applyAlignment="1">
      <alignment vertical="center"/>
    </xf>
    <xf numFmtId="0" fontId="20" fillId="0" borderId="52" xfId="1" applyFont="1" applyFill="1" applyBorder="1" applyAlignment="1">
      <alignment vertical="center"/>
    </xf>
    <xf numFmtId="167" fontId="50" fillId="0" borderId="52" xfId="1" applyNumberFormat="1" applyFont="1" applyFill="1" applyBorder="1" applyAlignment="1">
      <alignment vertical="center"/>
    </xf>
    <xf numFmtId="0" fontId="72" fillId="0" borderId="52" xfId="1" applyFont="1" applyFill="1" applyBorder="1" applyAlignment="1">
      <alignment horizontal="left" vertical="center"/>
    </xf>
    <xf numFmtId="0" fontId="23" fillId="0" borderId="0" xfId="15" applyFill="1" applyAlignment="1">
      <alignment vertical="center"/>
    </xf>
    <xf numFmtId="3" fontId="55" fillId="0" borderId="1" xfId="1" applyNumberFormat="1" applyFont="1" applyFill="1" applyBorder="1" applyAlignment="1">
      <alignment horizontal="center" vertical="center"/>
    </xf>
    <xf numFmtId="3" fontId="3" fillId="4" borderId="1" xfId="1" applyNumberFormat="1" applyFont="1" applyFill="1" applyBorder="1" applyAlignment="1">
      <alignment horizontal="center" vertical="center"/>
    </xf>
    <xf numFmtId="3" fontId="54" fillId="0" borderId="1" xfId="1" applyNumberFormat="1" applyFont="1" applyFill="1" applyBorder="1" applyAlignment="1">
      <alignment horizontal="center" vertical="center"/>
    </xf>
    <xf numFmtId="0" fontId="65" fillId="0" borderId="5" xfId="1" applyFont="1" applyFill="1" applyBorder="1" applyAlignment="1">
      <alignment horizontal="left" vertical="center"/>
    </xf>
    <xf numFmtId="0" fontId="54" fillId="0" borderId="5" xfId="1" applyFont="1" applyFill="1" applyBorder="1" applyAlignment="1">
      <alignment horizontal="left" vertical="center"/>
    </xf>
    <xf numFmtId="3" fontId="78" fillId="0" borderId="0" xfId="1" applyNumberFormat="1" applyFont="1" applyFill="1" applyBorder="1" applyAlignment="1">
      <alignment horizontal="left" vertical="center"/>
    </xf>
    <xf numFmtId="3" fontId="79" fillId="0" borderId="0" xfId="1" applyNumberFormat="1" applyFont="1" applyFill="1" applyBorder="1" applyAlignment="1">
      <alignment horizontal="left" vertical="center"/>
    </xf>
    <xf numFmtId="3" fontId="80" fillId="0" borderId="0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/>
    </xf>
    <xf numFmtId="3" fontId="81" fillId="0" borderId="0" xfId="1" applyNumberFormat="1" applyFont="1" applyFill="1" applyBorder="1" applyAlignment="1">
      <alignment horizontal="left" vertical="center"/>
    </xf>
    <xf numFmtId="3" fontId="82" fillId="0" borderId="0" xfId="1" applyNumberFormat="1" applyFont="1" applyFill="1" applyBorder="1" applyAlignment="1">
      <alignment horizontal="left" vertical="center"/>
    </xf>
    <xf numFmtId="3" fontId="81" fillId="0" borderId="0" xfId="1" applyNumberFormat="1" applyFont="1" applyFill="1" applyBorder="1" applyAlignment="1">
      <alignment horizontal="center" vertical="center"/>
    </xf>
    <xf numFmtId="0" fontId="56" fillId="0" borderId="0" xfId="1" applyFont="1" applyFill="1" applyAlignment="1">
      <alignment vertical="center"/>
    </xf>
    <xf numFmtId="0" fontId="2" fillId="0" borderId="0" xfId="4" applyFill="1"/>
    <xf numFmtId="0" fontId="1" fillId="0" borderId="0" xfId="10"/>
    <xf numFmtId="0" fontId="2" fillId="0" borderId="0" xfId="4" applyFill="1" applyBorder="1"/>
    <xf numFmtId="0" fontId="12" fillId="0" borderId="0" xfId="4" applyFont="1" applyFill="1" applyBorder="1"/>
    <xf numFmtId="0" fontId="83" fillId="0" borderId="0" xfId="4" applyFont="1" applyFill="1" applyBorder="1"/>
    <xf numFmtId="0" fontId="84" fillId="0" borderId="0" xfId="4" applyFont="1" applyFill="1" applyBorder="1"/>
    <xf numFmtId="0" fontId="2" fillId="0" borderId="0" xfId="4" applyFill="1" applyAlignment="1">
      <alignment horizontal="left" vertical="center"/>
    </xf>
    <xf numFmtId="0" fontId="12" fillId="0" borderId="0" xfId="4" applyFont="1" applyFill="1" applyBorder="1" applyAlignment="1">
      <alignment horizontal="left" vertical="center"/>
    </xf>
    <xf numFmtId="0" fontId="2" fillId="0" borderId="0" xfId="4" applyFill="1" applyBorder="1" applyAlignment="1">
      <alignment horizontal="left" vertical="center"/>
    </xf>
    <xf numFmtId="3" fontId="12" fillId="0" borderId="0" xfId="4" applyNumberFormat="1" applyFont="1" applyFill="1" applyBorder="1" applyAlignment="1">
      <alignment horizontal="center" vertical="center"/>
    </xf>
    <xf numFmtId="3" fontId="57" fillId="0" borderId="0" xfId="4" applyNumberFormat="1" applyFont="1" applyFill="1" applyBorder="1" applyAlignment="1">
      <alignment horizontal="center" vertical="center"/>
    </xf>
    <xf numFmtId="166" fontId="44" fillId="0" borderId="0" xfId="4" applyNumberFormat="1" applyFont="1" applyFill="1" applyBorder="1" applyAlignment="1">
      <alignment horizontal="center" vertical="center"/>
    </xf>
    <xf numFmtId="0" fontId="85" fillId="0" borderId="0" xfId="4" applyFont="1" applyFill="1" applyBorder="1"/>
    <xf numFmtId="0" fontId="16" fillId="0" borderId="0" xfId="4" applyFont="1" applyFill="1" applyBorder="1"/>
    <xf numFmtId="0" fontId="86" fillId="0" borderId="0" xfId="4" applyFont="1" applyFill="1" applyBorder="1"/>
    <xf numFmtId="0" fontId="12" fillId="0" borderId="4" xfId="4" applyFont="1" applyFill="1" applyBorder="1"/>
    <xf numFmtId="0" fontId="17" fillId="0" borderId="0" xfId="4" applyFont="1" applyFill="1" applyBorder="1"/>
    <xf numFmtId="0" fontId="45" fillId="0" borderId="55" xfId="4" applyFont="1" applyFill="1" applyBorder="1" applyAlignment="1">
      <alignment horizontal="center" vertical="center"/>
    </xf>
    <xf numFmtId="170" fontId="45" fillId="0" borderId="58" xfId="4" applyNumberFormat="1" applyFont="1" applyFill="1" applyBorder="1" applyAlignment="1">
      <alignment horizontal="center" vertical="center"/>
    </xf>
    <xf numFmtId="0" fontId="2" fillId="0" borderId="20" xfId="4" applyFill="1" applyBorder="1" applyAlignment="1">
      <alignment horizontal="center" vertical="center"/>
    </xf>
    <xf numFmtId="0" fontId="45" fillId="0" borderId="58" xfId="4" applyFont="1" applyFill="1" applyBorder="1" applyAlignment="1">
      <alignment horizontal="center" vertical="center"/>
    </xf>
    <xf numFmtId="171" fontId="45" fillId="0" borderId="58" xfId="4" applyNumberFormat="1" applyFont="1" applyFill="1" applyBorder="1" applyAlignment="1">
      <alignment horizontal="center" vertical="center"/>
    </xf>
    <xf numFmtId="0" fontId="45" fillId="0" borderId="0" xfId="4" applyFont="1" applyFill="1" applyBorder="1" applyAlignment="1">
      <alignment horizontal="left" vertical="center"/>
    </xf>
    <xf numFmtId="0" fontId="45" fillId="0" borderId="0" xfId="4" applyFont="1" applyFill="1" applyBorder="1" applyAlignment="1">
      <alignment horizontal="center" vertical="center"/>
    </xf>
    <xf numFmtId="0" fontId="17" fillId="0" borderId="58" xfId="4" applyFont="1" applyFill="1" applyBorder="1" applyAlignment="1">
      <alignment horizontal="center" vertical="center"/>
    </xf>
    <xf numFmtId="0" fontId="17" fillId="0" borderId="0" xfId="4" applyFont="1" applyFill="1" applyBorder="1" applyAlignment="1"/>
    <xf numFmtId="0" fontId="45" fillId="0" borderId="0" xfId="4" applyNumberFormat="1" applyFont="1" applyFill="1" applyBorder="1" applyAlignment="1" applyProtection="1">
      <alignment horizontal="center" vertical="center"/>
    </xf>
    <xf numFmtId="0" fontId="17" fillId="0" borderId="0" xfId="4" applyFont="1" applyFill="1" applyBorder="1" applyAlignment="1">
      <alignment horizontal="center" vertical="center"/>
    </xf>
    <xf numFmtId="3" fontId="45" fillId="0" borderId="0" xfId="4" applyNumberFormat="1" applyFont="1" applyFill="1" applyBorder="1" applyAlignment="1">
      <alignment horizontal="center" vertical="center"/>
    </xf>
    <xf numFmtId="3" fontId="67" fillId="0" borderId="0" xfId="4" applyNumberFormat="1" applyFont="1" applyFill="1" applyBorder="1" applyAlignment="1">
      <alignment horizontal="center" vertical="center"/>
    </xf>
    <xf numFmtId="171" fontId="45" fillId="0" borderId="0" xfId="4" applyNumberFormat="1" applyFont="1" applyFill="1" applyBorder="1" applyAlignment="1">
      <alignment horizontal="center" vertical="center"/>
    </xf>
    <xf numFmtId="0" fontId="2" fillId="0" borderId="0" xfId="4" applyFill="1" applyBorder="1" applyAlignment="1">
      <alignment horizontal="center" vertical="center"/>
    </xf>
    <xf numFmtId="0" fontId="1" fillId="0" borderId="0" xfId="10" applyFill="1"/>
    <xf numFmtId="3" fontId="54" fillId="0" borderId="59" xfId="1" applyNumberFormat="1" applyFont="1" applyFill="1" applyBorder="1" applyAlignment="1">
      <alignment horizontal="center" vertical="center"/>
    </xf>
    <xf numFmtId="0" fontId="25" fillId="0" borderId="69" xfId="1" applyFont="1" applyFill="1" applyBorder="1" applyAlignment="1">
      <alignment horizontal="center" vertical="center"/>
    </xf>
    <xf numFmtId="0" fontId="25" fillId="0" borderId="70" xfId="1" applyFont="1" applyFill="1" applyBorder="1" applyAlignment="1">
      <alignment horizontal="center" vertical="center"/>
    </xf>
    <xf numFmtId="0" fontId="26" fillId="0" borderId="69" xfId="1" applyFont="1" applyFill="1" applyBorder="1" applyAlignment="1">
      <alignment horizontal="center" vertical="center"/>
    </xf>
    <xf numFmtId="0" fontId="26" fillId="0" borderId="70" xfId="1" applyFont="1" applyFill="1" applyBorder="1" applyAlignment="1">
      <alignment horizontal="center" vertical="center"/>
    </xf>
    <xf numFmtId="0" fontId="64" fillId="0" borderId="69" xfId="1" applyFont="1" applyFill="1" applyBorder="1" applyAlignment="1">
      <alignment horizontal="center"/>
    </xf>
    <xf numFmtId="3" fontId="45" fillId="0" borderId="0" xfId="1" applyNumberFormat="1" applyFont="1" applyFill="1" applyBorder="1" applyAlignment="1">
      <alignment horizontal="center" vertical="center"/>
    </xf>
    <xf numFmtId="0" fontId="25" fillId="0" borderId="71" xfId="1" applyFont="1" applyFill="1" applyBorder="1" applyAlignment="1">
      <alignment horizontal="center" vertical="center"/>
    </xf>
    <xf numFmtId="0" fontId="91" fillId="0" borderId="75" xfId="1" applyFont="1" applyFill="1" applyBorder="1" applyAlignment="1">
      <alignment horizontal="center" vertical="center"/>
    </xf>
    <xf numFmtId="0" fontId="26" fillId="0" borderId="71" xfId="1" applyFont="1" applyFill="1" applyBorder="1" applyAlignment="1">
      <alignment horizontal="center" vertical="center"/>
    </xf>
    <xf numFmtId="0" fontId="2" fillId="0" borderId="0" xfId="1" applyAlignment="1"/>
    <xf numFmtId="167" fontId="48" fillId="0" borderId="73" xfId="1" applyNumberFormat="1" applyFont="1" applyFill="1" applyBorder="1" applyAlignment="1">
      <alignment horizontal="center" vertical="center"/>
    </xf>
    <xf numFmtId="167" fontId="49" fillId="0" borderId="73" xfId="1" applyNumberFormat="1" applyFont="1" applyFill="1" applyBorder="1" applyAlignment="1">
      <alignment horizontal="center" vertical="center"/>
    </xf>
    <xf numFmtId="168" fontId="48" fillId="0" borderId="73" xfId="1" applyNumberFormat="1" applyFont="1" applyFill="1" applyBorder="1" applyAlignment="1">
      <alignment horizontal="center" vertical="center"/>
    </xf>
    <xf numFmtId="3" fontId="43" fillId="0" borderId="73" xfId="1" applyNumberFormat="1" applyFont="1" applyFill="1" applyBorder="1" applyAlignment="1">
      <alignment horizontal="center" vertical="center"/>
    </xf>
    <xf numFmtId="3" fontId="51" fillId="0" borderId="73" xfId="1" applyNumberFormat="1" applyFont="1" applyFill="1" applyBorder="1" applyAlignment="1">
      <alignment horizontal="center" vertical="center"/>
    </xf>
    <xf numFmtId="3" fontId="54" fillId="0" borderId="95" xfId="1" applyNumberFormat="1" applyFont="1" applyFill="1" applyBorder="1" applyAlignment="1">
      <alignment horizontal="center" vertical="center"/>
    </xf>
    <xf numFmtId="0" fontId="25" fillId="0" borderId="93" xfId="1" applyFont="1" applyFill="1" applyBorder="1" applyAlignment="1">
      <alignment horizontal="center" vertical="center"/>
    </xf>
    <xf numFmtId="0" fontId="45" fillId="0" borderId="92" xfId="4" applyFont="1" applyFill="1" applyBorder="1" applyAlignment="1">
      <alignment horizontal="center" vertical="center"/>
    </xf>
    <xf numFmtId="0" fontId="2" fillId="0" borderId="75" xfId="4" applyFill="1" applyBorder="1" applyAlignment="1">
      <alignment horizontal="center" vertical="center"/>
    </xf>
    <xf numFmtId="0" fontId="26" fillId="0" borderId="93" xfId="1" applyFont="1" applyFill="1" applyBorder="1" applyAlignment="1">
      <alignment horizontal="center" vertical="center"/>
    </xf>
    <xf numFmtId="3" fontId="54" fillId="0" borderId="6" xfId="1" applyNumberFormat="1" applyFont="1" applyFill="1" applyBorder="1" applyAlignment="1">
      <alignment horizontal="center" vertical="center"/>
    </xf>
    <xf numFmtId="165" fontId="19" fillId="0" borderId="0" xfId="1" applyNumberFormat="1" applyFont="1" applyFill="1" applyAlignment="1">
      <alignment horizontal="left"/>
    </xf>
    <xf numFmtId="0" fontId="76" fillId="0" borderId="0" xfId="1" applyFont="1" applyFill="1" applyAlignment="1">
      <alignment horizontal="left"/>
    </xf>
    <xf numFmtId="3" fontId="76" fillId="0" borderId="0" xfId="1" applyNumberFormat="1" applyFont="1" applyFill="1" applyAlignment="1">
      <alignment vertical="center"/>
    </xf>
    <xf numFmtId="0" fontId="77" fillId="0" borderId="0" xfId="15" applyNumberFormat="1" applyFont="1" applyFill="1" applyBorder="1" applyAlignment="1" applyProtection="1">
      <alignment horizontal="center" vertical="center"/>
    </xf>
    <xf numFmtId="0" fontId="92" fillId="0" borderId="0" xfId="15" applyNumberFormat="1" applyFont="1" applyFill="1" applyBorder="1" applyAlignment="1" applyProtection="1">
      <alignment horizontal="center" vertical="center"/>
    </xf>
    <xf numFmtId="3" fontId="43" fillId="0" borderId="4" xfId="1" applyNumberFormat="1" applyFont="1" applyFill="1" applyBorder="1" applyAlignment="1">
      <alignment horizontal="center" vertical="center"/>
    </xf>
    <xf numFmtId="167" fontId="47" fillId="0" borderId="73" xfId="1" applyNumberFormat="1" applyFont="1" applyFill="1" applyBorder="1" applyAlignment="1">
      <alignment horizontal="center" vertical="center"/>
    </xf>
    <xf numFmtId="0" fontId="23" fillId="0" borderId="15" xfId="15" applyFill="1" applyBorder="1" applyAlignment="1">
      <alignment horizontal="center" vertical="center"/>
    </xf>
    <xf numFmtId="0" fontId="23" fillId="0" borderId="0" xfId="15" applyFill="1" applyBorder="1"/>
    <xf numFmtId="0" fontId="23" fillId="0" borderId="0" xfId="15"/>
    <xf numFmtId="0" fontId="2" fillId="0" borderId="8" xfId="1" applyBorder="1"/>
    <xf numFmtId="0" fontId="18" fillId="0" borderId="0" xfId="1" applyFont="1"/>
    <xf numFmtId="0" fontId="18" fillId="0" borderId="0" xfId="1" applyFont="1" applyFill="1"/>
    <xf numFmtId="3" fontId="16" fillId="0" borderId="0" xfId="1" applyNumberFormat="1" applyFont="1" applyFill="1" applyBorder="1" applyAlignment="1">
      <alignment horizontal="center"/>
    </xf>
    <xf numFmtId="0" fontId="23" fillId="0" borderId="0" xfId="15" applyFill="1"/>
    <xf numFmtId="0" fontId="23" fillId="0" borderId="0" xfId="15" applyFill="1" applyBorder="1" applyAlignment="1">
      <alignment horizontal="left"/>
    </xf>
    <xf numFmtId="3" fontId="53" fillId="0" borderId="61" xfId="1" applyNumberFormat="1" applyFont="1" applyFill="1" applyBorder="1" applyAlignment="1">
      <alignment horizontal="left" vertical="center"/>
    </xf>
    <xf numFmtId="0" fontId="71" fillId="0" borderId="0" xfId="1" applyFont="1" applyFill="1" applyAlignment="1">
      <alignment vertical="center"/>
    </xf>
    <xf numFmtId="0" fontId="71" fillId="0" borderId="0" xfId="1" applyFont="1" applyFill="1" applyBorder="1" applyAlignment="1">
      <alignment horizontal="left" vertical="center"/>
    </xf>
    <xf numFmtId="0" fontId="64" fillId="0" borderId="71" xfId="1" applyFont="1" applyFill="1" applyBorder="1" applyAlignment="1">
      <alignment horizontal="center"/>
    </xf>
    <xf numFmtId="165" fontId="6" fillId="0" borderId="0" xfId="1" applyNumberFormat="1" applyFont="1" applyFill="1" applyAlignment="1">
      <alignment horizontal="left"/>
    </xf>
    <xf numFmtId="0" fontId="43" fillId="0" borderId="131" xfId="1" applyFont="1" applyFill="1" applyBorder="1" applyAlignment="1">
      <alignment horizontal="center" vertical="center"/>
    </xf>
    <xf numFmtId="0" fontId="73" fillId="0" borderId="131" xfId="1" applyFont="1" applyFill="1" applyBorder="1" applyAlignment="1">
      <alignment horizontal="center" vertical="center"/>
    </xf>
    <xf numFmtId="0" fontId="17" fillId="0" borderId="126" xfId="1" applyFont="1" applyFill="1" applyBorder="1" applyAlignment="1">
      <alignment horizontal="center" vertical="center"/>
    </xf>
    <xf numFmtId="0" fontId="75" fillId="0" borderId="126" xfId="1" applyFont="1" applyFill="1" applyBorder="1" applyAlignment="1">
      <alignment horizontal="center" vertical="center"/>
    </xf>
    <xf numFmtId="0" fontId="75" fillId="0" borderId="126" xfId="1" applyFont="1" applyFill="1" applyBorder="1" applyAlignment="1">
      <alignment horizontal="center" vertical="center" wrapText="1"/>
    </xf>
    <xf numFmtId="3" fontId="75" fillId="0" borderId="126" xfId="1" applyNumberFormat="1" applyFont="1" applyFill="1" applyBorder="1" applyAlignment="1">
      <alignment horizontal="center" vertical="center" wrapText="1"/>
    </xf>
    <xf numFmtId="0" fontId="17" fillId="0" borderId="120" xfId="1" applyFont="1" applyFill="1" applyBorder="1" applyAlignment="1">
      <alignment horizontal="right" vertical="center"/>
    </xf>
    <xf numFmtId="0" fontId="17" fillId="0" borderId="130" xfId="1" applyFont="1" applyFill="1" applyBorder="1" applyAlignment="1">
      <alignment horizontal="right" vertical="center"/>
    </xf>
    <xf numFmtId="0" fontId="100" fillId="0" borderId="130" xfId="1" applyFont="1" applyFill="1" applyBorder="1" applyAlignment="1">
      <alignment horizontal="center" vertical="center" wrapText="1"/>
    </xf>
    <xf numFmtId="0" fontId="50" fillId="0" borderId="130" xfId="1" applyFont="1" applyFill="1" applyBorder="1" applyAlignment="1">
      <alignment horizontal="center" vertical="center"/>
    </xf>
    <xf numFmtId="0" fontId="50" fillId="45" borderId="130" xfId="1" applyFont="1" applyFill="1" applyBorder="1" applyAlignment="1">
      <alignment horizontal="center" vertical="center"/>
    </xf>
    <xf numFmtId="0" fontId="100" fillId="0" borderId="130" xfId="1" applyFont="1" applyFill="1" applyBorder="1" applyAlignment="1">
      <alignment horizontal="center" vertical="center"/>
    </xf>
    <xf numFmtId="0" fontId="17" fillId="0" borderId="108" xfId="1" applyFont="1" applyFill="1" applyBorder="1" applyAlignment="1">
      <alignment horizontal="center" vertical="center"/>
    </xf>
    <xf numFmtId="0" fontId="17" fillId="0" borderId="53" xfId="1" applyFont="1" applyFill="1" applyBorder="1" applyAlignment="1">
      <alignment horizontal="right" vertical="center"/>
    </xf>
    <xf numFmtId="0" fontId="41" fillId="0" borderId="133" xfId="15" applyFont="1" applyFill="1" applyBorder="1" applyAlignment="1">
      <alignment horizontal="center" vertical="center" wrapText="1"/>
    </xf>
    <xf numFmtId="0" fontId="50" fillId="0" borderId="133" xfId="1" applyFont="1" applyFill="1" applyBorder="1" applyAlignment="1">
      <alignment horizontal="center" vertical="center"/>
    </xf>
    <xf numFmtId="0" fontId="50" fillId="45" borderId="133" xfId="1" applyFont="1" applyFill="1" applyBorder="1" applyAlignment="1">
      <alignment horizontal="center" vertical="center"/>
    </xf>
    <xf numFmtId="0" fontId="100" fillId="0" borderId="133" xfId="1" applyFont="1" applyFill="1" applyBorder="1" applyAlignment="1">
      <alignment horizontal="center" vertical="center"/>
    </xf>
    <xf numFmtId="0" fontId="17" fillId="0" borderId="0" xfId="1" applyFont="1" applyFill="1" applyBorder="1" applyAlignment="1">
      <alignment horizontal="right" vertical="center"/>
    </xf>
    <xf numFmtId="0" fontId="101" fillId="0" borderId="73" xfId="1" applyFont="1" applyBorder="1" applyAlignment="1">
      <alignment horizontal="center" vertical="center" wrapText="1"/>
    </xf>
    <xf numFmtId="0" fontId="50" fillId="0" borderId="73" xfId="1" applyFont="1" applyFill="1" applyBorder="1" applyAlignment="1">
      <alignment horizontal="center" vertical="center" wrapText="1"/>
    </xf>
    <xf numFmtId="3" fontId="50" fillId="0" borderId="73" xfId="1" applyNumberFormat="1" applyFont="1" applyFill="1" applyBorder="1" applyAlignment="1">
      <alignment horizontal="center" vertical="center" wrapText="1"/>
    </xf>
    <xf numFmtId="0" fontId="2" fillId="0" borderId="0" xfId="1" applyAlignment="1">
      <alignment horizontal="center" vertical="center"/>
    </xf>
    <xf numFmtId="0" fontId="45" fillId="0" borderId="135" xfId="1" applyFont="1" applyFill="1" applyBorder="1" applyAlignment="1">
      <alignment horizontal="left" vertical="center"/>
    </xf>
    <xf numFmtId="0" fontId="17" fillId="0" borderId="87" xfId="1" applyFont="1" applyFill="1" applyBorder="1" applyAlignment="1">
      <alignment horizontal="center" vertical="center"/>
    </xf>
    <xf numFmtId="0" fontId="17" fillId="0" borderId="117" xfId="1" applyFont="1" applyFill="1" applyBorder="1" applyAlignment="1">
      <alignment horizontal="center" vertical="center"/>
    </xf>
    <xf numFmtId="0" fontId="45" fillId="0" borderId="120" xfId="1" applyFont="1" applyFill="1" applyBorder="1" applyAlignment="1">
      <alignment horizontal="left" vertical="center"/>
    </xf>
    <xf numFmtId="0" fontId="17" fillId="0" borderId="53" xfId="1" applyFont="1" applyFill="1" applyBorder="1" applyAlignment="1">
      <alignment horizontal="center" vertical="center"/>
    </xf>
    <xf numFmtId="172" fontId="17" fillId="0" borderId="133" xfId="1" applyNumberFormat="1" applyFont="1" applyFill="1" applyBorder="1" applyAlignment="1">
      <alignment horizontal="center" vertical="center"/>
    </xf>
    <xf numFmtId="0" fontId="45" fillId="0" borderId="55" xfId="1" applyFont="1" applyFill="1" applyBorder="1" applyAlignment="1">
      <alignment horizontal="center" vertical="center"/>
    </xf>
    <xf numFmtId="0" fontId="45" fillId="0" borderId="8" xfId="1" applyFont="1" applyFill="1" applyBorder="1" applyAlignment="1">
      <alignment horizontal="center" vertical="center"/>
    </xf>
    <xf numFmtId="3" fontId="17" fillId="0" borderId="136" xfId="1" applyNumberFormat="1" applyFont="1" applyFill="1" applyBorder="1" applyAlignment="1">
      <alignment horizontal="center" vertical="center"/>
    </xf>
    <xf numFmtId="3" fontId="17" fillId="0" borderId="61" xfId="1" applyNumberFormat="1" applyFont="1" applyFill="1" applyBorder="1" applyAlignment="1">
      <alignment horizontal="center" vertical="center"/>
    </xf>
    <xf numFmtId="49" fontId="18" fillId="0" borderId="73" xfId="1" quotePrefix="1" applyNumberFormat="1" applyFont="1" applyFill="1" applyBorder="1" applyAlignment="1">
      <alignment horizontal="center" vertical="center"/>
    </xf>
    <xf numFmtId="3" fontId="17" fillId="0" borderId="73" xfId="1" applyNumberFormat="1" applyFont="1" applyFill="1" applyBorder="1" applyAlignment="1">
      <alignment horizontal="center" vertical="center"/>
    </xf>
    <xf numFmtId="0" fontId="18" fillId="0" borderId="61" xfId="1" applyFont="1" applyFill="1" applyBorder="1" applyAlignment="1">
      <alignment horizontal="left" vertical="center"/>
    </xf>
    <xf numFmtId="49" fontId="18" fillId="0" borderId="73" xfId="1" applyNumberFormat="1" applyFont="1" applyFill="1" applyBorder="1" applyAlignment="1">
      <alignment horizontal="center" vertical="center"/>
    </xf>
    <xf numFmtId="166" fontId="45" fillId="0" borderId="73" xfId="1" applyNumberFormat="1" applyFont="1" applyFill="1" applyBorder="1" applyAlignment="1">
      <alignment horizontal="center" vertical="center"/>
    </xf>
    <xf numFmtId="3" fontId="18" fillId="0" borderId="73" xfId="1" applyNumberFormat="1" applyFont="1" applyFill="1" applyBorder="1" applyAlignment="1">
      <alignment horizontal="center" vertical="center"/>
    </xf>
    <xf numFmtId="0" fontId="18" fillId="0" borderId="137" xfId="1" applyFont="1" applyFill="1" applyBorder="1" applyAlignment="1">
      <alignment horizontal="left" vertical="center"/>
    </xf>
    <xf numFmtId="49" fontId="76" fillId="0" borderId="73" xfId="1" applyNumberFormat="1" applyFont="1" applyFill="1" applyBorder="1" applyAlignment="1">
      <alignment horizontal="center" vertical="center"/>
    </xf>
    <xf numFmtId="0" fontId="18" fillId="16" borderId="137" xfId="1" applyFont="1" applyFill="1" applyBorder="1" applyAlignment="1">
      <alignment horizontal="left" vertical="center"/>
    </xf>
    <xf numFmtId="0" fontId="18" fillId="19" borderId="137" xfId="1" applyFont="1" applyFill="1" applyBorder="1" applyAlignment="1">
      <alignment horizontal="left" vertical="center"/>
    </xf>
    <xf numFmtId="49" fontId="76" fillId="19" borderId="73" xfId="1" applyNumberFormat="1" applyFont="1" applyFill="1" applyBorder="1" applyAlignment="1">
      <alignment horizontal="center" vertical="center"/>
    </xf>
    <xf numFmtId="3" fontId="17" fillId="19" borderId="73" xfId="1" applyNumberFormat="1" applyFont="1" applyFill="1" applyBorder="1" applyAlignment="1">
      <alignment horizontal="center" vertical="center"/>
    </xf>
    <xf numFmtId="166" fontId="45" fillId="19" borderId="73" xfId="1" applyNumberFormat="1" applyFont="1" applyFill="1" applyBorder="1" applyAlignment="1">
      <alignment horizontal="center" vertical="center"/>
    </xf>
    <xf numFmtId="3" fontId="18" fillId="19" borderId="73" xfId="1" applyNumberFormat="1" applyFont="1" applyFill="1" applyBorder="1" applyAlignment="1">
      <alignment horizontal="center" vertical="center"/>
    </xf>
    <xf numFmtId="49" fontId="18" fillId="19" borderId="73" xfId="1" applyNumberFormat="1" applyFont="1" applyFill="1" applyBorder="1" applyAlignment="1">
      <alignment horizontal="center" vertical="center"/>
    </xf>
    <xf numFmtId="49" fontId="76" fillId="19" borderId="61" xfId="1" applyNumberFormat="1" applyFont="1" applyFill="1" applyBorder="1" applyAlignment="1">
      <alignment horizontal="center" vertical="center"/>
    </xf>
    <xf numFmtId="3" fontId="17" fillId="19" borderId="61" xfId="1" applyNumberFormat="1" applyFont="1" applyFill="1" applyBorder="1" applyAlignment="1">
      <alignment horizontal="center" vertical="center"/>
    </xf>
    <xf numFmtId="166" fontId="45" fillId="19" borderId="61" xfId="1" applyNumberFormat="1" applyFont="1" applyFill="1" applyBorder="1" applyAlignment="1">
      <alignment horizontal="center" vertical="center"/>
    </xf>
    <xf numFmtId="3" fontId="18" fillId="19" borderId="61" xfId="1" applyNumberFormat="1" applyFont="1" applyFill="1" applyBorder="1" applyAlignment="1">
      <alignment horizontal="center" vertical="center"/>
    </xf>
    <xf numFmtId="0" fontId="18" fillId="34" borderId="137" xfId="1" applyFont="1" applyFill="1" applyBorder="1" applyAlignment="1">
      <alignment horizontal="left" vertical="center"/>
    </xf>
    <xf numFmtId="49" fontId="76" fillId="34" borderId="73" xfId="1" applyNumberFormat="1" applyFont="1" applyFill="1" applyBorder="1" applyAlignment="1">
      <alignment horizontal="center" vertical="center"/>
    </xf>
    <xf numFmtId="3" fontId="17" fillId="34" borderId="73" xfId="1" applyNumberFormat="1" applyFont="1" applyFill="1" applyBorder="1" applyAlignment="1">
      <alignment horizontal="center" vertical="center"/>
    </xf>
    <xf numFmtId="166" fontId="45" fillId="34" borderId="73" xfId="1" applyNumberFormat="1" applyFont="1" applyFill="1" applyBorder="1" applyAlignment="1">
      <alignment horizontal="center" vertical="center"/>
    </xf>
    <xf numFmtId="3" fontId="18" fillId="34" borderId="73" xfId="1" applyNumberFormat="1" applyFont="1" applyFill="1" applyBorder="1" applyAlignment="1">
      <alignment horizontal="center" vertical="center"/>
    </xf>
    <xf numFmtId="49" fontId="18" fillId="34" borderId="73" xfId="1" applyNumberFormat="1" applyFont="1" applyFill="1" applyBorder="1" applyAlignment="1">
      <alignment horizontal="center" vertical="center"/>
    </xf>
    <xf numFmtId="49" fontId="76" fillId="16" borderId="73" xfId="1" applyNumberFormat="1" applyFont="1" applyFill="1" applyBorder="1" applyAlignment="1">
      <alignment horizontal="center" vertical="center"/>
    </xf>
    <xf numFmtId="3" fontId="17" fillId="16" borderId="73" xfId="1" applyNumberFormat="1" applyFont="1" applyFill="1" applyBorder="1" applyAlignment="1">
      <alignment horizontal="center" vertical="center"/>
    </xf>
    <xf numFmtId="166" fontId="45" fillId="16" borderId="73" xfId="1" applyNumberFormat="1" applyFont="1" applyFill="1" applyBorder="1" applyAlignment="1">
      <alignment horizontal="center" vertical="center"/>
    </xf>
    <xf numFmtId="3" fontId="18" fillId="16" borderId="73" xfId="1" applyNumberFormat="1" applyFont="1" applyFill="1" applyBorder="1" applyAlignment="1">
      <alignment horizontal="center" vertical="center"/>
    </xf>
    <xf numFmtId="49" fontId="18" fillId="16" borderId="73" xfId="1" applyNumberFormat="1" applyFont="1" applyFill="1" applyBorder="1" applyAlignment="1">
      <alignment horizontal="center" vertical="center"/>
    </xf>
    <xf numFmtId="0" fontId="18" fillId="2" borderId="137" xfId="1" applyFont="1" applyFill="1" applyBorder="1" applyAlignment="1">
      <alignment horizontal="left" vertical="center"/>
    </xf>
    <xf numFmtId="3" fontId="17" fillId="2" borderId="73" xfId="1" applyNumberFormat="1" applyFont="1" applyFill="1" applyBorder="1" applyAlignment="1">
      <alignment horizontal="center" vertical="center"/>
    </xf>
    <xf numFmtId="166" fontId="45" fillId="2" borderId="73" xfId="1" applyNumberFormat="1" applyFont="1" applyFill="1" applyBorder="1" applyAlignment="1">
      <alignment horizontal="center" vertical="center"/>
    </xf>
    <xf numFmtId="3" fontId="18" fillId="2" borderId="73" xfId="1" applyNumberFormat="1" applyFont="1" applyFill="1" applyBorder="1" applyAlignment="1">
      <alignment horizontal="center" vertical="center"/>
    </xf>
    <xf numFmtId="0" fontId="18" fillId="35" borderId="137" xfId="1" applyFont="1" applyFill="1" applyBorder="1" applyAlignment="1">
      <alignment horizontal="left" vertical="center"/>
    </xf>
    <xf numFmtId="49" fontId="76" fillId="35" borderId="73" xfId="1" applyNumberFormat="1" applyFont="1" applyFill="1" applyBorder="1" applyAlignment="1">
      <alignment horizontal="center" vertical="center"/>
    </xf>
    <xf numFmtId="3" fontId="17" fillId="35" borderId="73" xfId="1" applyNumberFormat="1" applyFont="1" applyFill="1" applyBorder="1" applyAlignment="1">
      <alignment horizontal="center" vertical="center"/>
    </xf>
    <xf numFmtId="166" fontId="45" fillId="35" borderId="73" xfId="1" applyNumberFormat="1" applyFont="1" applyFill="1" applyBorder="1" applyAlignment="1">
      <alignment horizontal="center" vertical="center"/>
    </xf>
    <xf numFmtId="3" fontId="18" fillId="35" borderId="73" xfId="1" applyNumberFormat="1" applyFont="1" applyFill="1" applyBorder="1" applyAlignment="1">
      <alignment horizontal="center" vertical="center"/>
    </xf>
    <xf numFmtId="0" fontId="18" fillId="2" borderId="61" xfId="1" applyFont="1" applyFill="1" applyBorder="1" applyAlignment="1">
      <alignment horizontal="left" vertical="center"/>
    </xf>
    <xf numFmtId="49" fontId="18" fillId="2" borderId="73" xfId="1" applyNumberFormat="1" applyFont="1" applyFill="1" applyBorder="1" applyAlignment="1">
      <alignment horizontal="center" vertical="center"/>
    </xf>
    <xf numFmtId="49" fontId="18" fillId="2" borderId="73" xfId="1" quotePrefix="1" applyNumberFormat="1" applyFont="1" applyFill="1" applyBorder="1" applyAlignment="1">
      <alignment horizontal="center" vertical="center"/>
    </xf>
    <xf numFmtId="166" fontId="45" fillId="2" borderId="126" xfId="1" applyNumberFormat="1" applyFont="1" applyFill="1" applyBorder="1" applyAlignment="1">
      <alignment horizontal="center" vertical="center"/>
    </xf>
    <xf numFmtId="3" fontId="18" fillId="2" borderId="126" xfId="1" applyNumberFormat="1" applyFont="1" applyFill="1" applyBorder="1" applyAlignment="1">
      <alignment horizontal="center" vertical="center"/>
    </xf>
    <xf numFmtId="3" fontId="2" fillId="0" borderId="73" xfId="1" applyNumberFormat="1" applyFont="1" applyFill="1" applyBorder="1" applyAlignment="1">
      <alignment horizontal="center" vertical="center"/>
    </xf>
    <xf numFmtId="3" fontId="53" fillId="0" borderId="73" xfId="1" applyNumberFormat="1" applyFont="1" applyFill="1" applyBorder="1" applyAlignment="1">
      <alignment horizontal="left" vertical="center"/>
    </xf>
    <xf numFmtId="3" fontId="53" fillId="0" borderId="73" xfId="1" applyNumberFormat="1" applyFont="1" applyFill="1" applyBorder="1" applyAlignment="1">
      <alignment horizontal="center" vertical="center"/>
    </xf>
    <xf numFmtId="3" fontId="2" fillId="0" borderId="72" xfId="1" applyNumberFormat="1" applyFont="1" applyFill="1" applyBorder="1" applyAlignment="1">
      <alignment horizontal="center" vertical="center"/>
    </xf>
    <xf numFmtId="3" fontId="53" fillId="0" borderId="72" xfId="1" applyNumberFormat="1" applyFont="1" applyFill="1" applyBorder="1" applyAlignment="1">
      <alignment horizontal="left" vertical="center"/>
    </xf>
    <xf numFmtId="3" fontId="53" fillId="0" borderId="72" xfId="1" applyNumberFormat="1" applyFont="1" applyFill="1" applyBorder="1" applyAlignment="1">
      <alignment horizontal="center" vertical="center"/>
    </xf>
    <xf numFmtId="3" fontId="2" fillId="22" borderId="73" xfId="1" applyNumberFormat="1" applyFont="1" applyFill="1" applyBorder="1" applyAlignment="1">
      <alignment horizontal="center" vertical="center"/>
    </xf>
    <xf numFmtId="0" fontId="23" fillId="0" borderId="8" xfId="15" applyFont="1" applyFill="1" applyBorder="1" applyAlignment="1">
      <alignment horizontal="left" vertical="center"/>
    </xf>
    <xf numFmtId="3" fontId="53" fillId="0" borderId="67" xfId="1" applyNumberFormat="1" applyFont="1" applyFill="1" applyBorder="1" applyAlignment="1">
      <alignment horizontal="center" vertical="center"/>
    </xf>
    <xf numFmtId="3" fontId="53" fillId="0" borderId="26" xfId="1" applyNumberFormat="1" applyFont="1" applyFill="1" applyBorder="1" applyAlignment="1">
      <alignment horizontal="left" vertical="center"/>
    </xf>
    <xf numFmtId="3" fontId="53" fillId="0" borderId="26" xfId="1" applyNumberFormat="1" applyFont="1" applyFill="1" applyBorder="1" applyAlignment="1">
      <alignment horizontal="center" vertical="center"/>
    </xf>
    <xf numFmtId="0" fontId="23" fillId="0" borderId="0" xfId="15" applyFont="1" applyFill="1" applyBorder="1" applyAlignment="1">
      <alignment horizontal="left" vertical="center"/>
    </xf>
    <xf numFmtId="3" fontId="108" fillId="0" borderId="73" xfId="1" applyNumberFormat="1" applyFont="1" applyFill="1" applyBorder="1" applyAlignment="1">
      <alignment horizontal="center" vertical="center"/>
    </xf>
    <xf numFmtId="0" fontId="23" fillId="2" borderId="8" xfId="15" applyFont="1" applyFill="1" applyBorder="1" applyAlignment="1">
      <alignment horizontal="left" vertical="center"/>
    </xf>
    <xf numFmtId="3" fontId="2" fillId="0" borderId="73" xfId="1" applyNumberFormat="1" applyFont="1" applyFill="1" applyBorder="1" applyAlignment="1">
      <alignment horizontal="left" vertical="center"/>
    </xf>
    <xf numFmtId="3" fontId="53" fillId="22" borderId="26" xfId="1" applyNumberFormat="1" applyFont="1" applyFill="1" applyBorder="1" applyAlignment="1">
      <alignment horizontal="center" vertical="center"/>
    </xf>
    <xf numFmtId="3" fontId="53" fillId="6" borderId="73" xfId="1" applyNumberFormat="1" applyFont="1" applyFill="1" applyBorder="1" applyAlignment="1">
      <alignment horizontal="left" vertical="center"/>
    </xf>
    <xf numFmtId="3" fontId="53" fillId="6" borderId="73" xfId="1" applyNumberFormat="1" applyFont="1" applyFill="1" applyBorder="1" applyAlignment="1">
      <alignment horizontal="center" vertical="center"/>
    </xf>
    <xf numFmtId="0" fontId="23" fillId="6" borderId="0" xfId="15" applyFont="1" applyFill="1" applyBorder="1" applyAlignment="1">
      <alignment horizontal="left" vertical="center"/>
    </xf>
    <xf numFmtId="3" fontId="108" fillId="6" borderId="73" xfId="1" applyNumberFormat="1" applyFont="1" applyFill="1" applyBorder="1" applyAlignment="1">
      <alignment horizontal="center" vertical="center"/>
    </xf>
    <xf numFmtId="3" fontId="53" fillId="6" borderId="26" xfId="1" applyNumberFormat="1" applyFont="1" applyFill="1" applyBorder="1" applyAlignment="1">
      <alignment horizontal="left" vertical="center"/>
    </xf>
    <xf numFmtId="3" fontId="53" fillId="6" borderId="26" xfId="1" applyNumberFormat="1" applyFont="1" applyFill="1" applyBorder="1" applyAlignment="1">
      <alignment horizontal="center" vertical="center"/>
    </xf>
    <xf numFmtId="0" fontId="53" fillId="6" borderId="8" xfId="1" applyFont="1" applyFill="1" applyBorder="1" applyAlignment="1">
      <alignment horizontal="left" vertical="center"/>
    </xf>
    <xf numFmtId="3" fontId="53" fillId="6" borderId="82" xfId="1" applyNumberFormat="1" applyFont="1" applyFill="1" applyBorder="1" applyAlignment="1">
      <alignment horizontal="left" vertical="center"/>
    </xf>
    <xf numFmtId="3" fontId="53" fillId="6" borderId="82" xfId="1" applyNumberFormat="1" applyFont="1" applyFill="1" applyBorder="1" applyAlignment="1">
      <alignment horizontal="center" vertical="center"/>
    </xf>
    <xf numFmtId="0" fontId="23" fillId="6" borderId="8" xfId="15" applyFont="1" applyFill="1" applyBorder="1" applyAlignment="1">
      <alignment horizontal="left" vertical="center"/>
    </xf>
    <xf numFmtId="0" fontId="53" fillId="6" borderId="0" xfId="1" applyFont="1" applyFill="1" applyBorder="1" applyAlignment="1">
      <alignment horizontal="left" vertical="center"/>
    </xf>
    <xf numFmtId="3" fontId="53" fillId="9" borderId="73" xfId="1" applyNumberFormat="1" applyFont="1" applyFill="1" applyBorder="1" applyAlignment="1">
      <alignment horizontal="left" vertical="center"/>
    </xf>
    <xf numFmtId="3" fontId="53" fillId="9" borderId="73" xfId="1" applyNumberFormat="1" applyFont="1" applyFill="1" applyBorder="1" applyAlignment="1">
      <alignment horizontal="center" vertical="center"/>
    </xf>
    <xf numFmtId="0" fontId="23" fillId="9" borderId="0" xfId="15" applyFont="1" applyFill="1" applyBorder="1" applyAlignment="1">
      <alignment horizontal="left" vertical="center"/>
    </xf>
    <xf numFmtId="3" fontId="53" fillId="34" borderId="73" xfId="1" applyNumberFormat="1" applyFont="1" applyFill="1" applyBorder="1" applyAlignment="1">
      <alignment horizontal="left" vertical="center"/>
    </xf>
    <xf numFmtId="3" fontId="108" fillId="35" borderId="73" xfId="1" applyNumberFormat="1" applyFont="1" applyFill="1" applyBorder="1" applyAlignment="1">
      <alignment horizontal="center" vertical="center"/>
    </xf>
    <xf numFmtId="3" fontId="53" fillId="34" borderId="82" xfId="1" applyNumberFormat="1" applyFont="1" applyFill="1" applyBorder="1" applyAlignment="1">
      <alignment horizontal="left" vertical="center"/>
    </xf>
    <xf numFmtId="3" fontId="53" fillId="37" borderId="73" xfId="1" applyNumberFormat="1" applyFont="1" applyFill="1" applyBorder="1" applyAlignment="1">
      <alignment horizontal="left" vertical="center"/>
    </xf>
    <xf numFmtId="3" fontId="53" fillId="37" borderId="73" xfId="1" applyNumberFormat="1" applyFont="1" applyFill="1" applyBorder="1" applyAlignment="1">
      <alignment horizontal="center" vertical="center"/>
    </xf>
    <xf numFmtId="3" fontId="53" fillId="36" borderId="82" xfId="1" applyNumberFormat="1" applyFont="1" applyFill="1" applyBorder="1" applyAlignment="1">
      <alignment horizontal="left" vertical="center"/>
    </xf>
    <xf numFmtId="3" fontId="53" fillId="36" borderId="82" xfId="1" applyNumberFormat="1" applyFont="1" applyFill="1" applyBorder="1" applyAlignment="1">
      <alignment horizontal="center" vertical="center"/>
    </xf>
    <xf numFmtId="3" fontId="53" fillId="35" borderId="73" xfId="1" applyNumberFormat="1" applyFont="1" applyFill="1" applyBorder="1" applyAlignment="1">
      <alignment horizontal="left" vertical="center"/>
    </xf>
    <xf numFmtId="0" fontId="23" fillId="35" borderId="0" xfId="15" applyFont="1" applyFill="1" applyBorder="1" applyAlignment="1">
      <alignment horizontal="left" vertical="center"/>
    </xf>
    <xf numFmtId="3" fontId="53" fillId="36" borderId="73" xfId="1" applyNumberFormat="1" applyFont="1" applyFill="1" applyBorder="1" applyAlignment="1">
      <alignment horizontal="left" vertical="center"/>
    </xf>
    <xf numFmtId="3" fontId="53" fillId="36" borderId="73" xfId="1" applyNumberFormat="1" applyFont="1" applyFill="1" applyBorder="1" applyAlignment="1">
      <alignment horizontal="center" vertical="center"/>
    </xf>
    <xf numFmtId="0" fontId="53" fillId="33" borderId="0" xfId="1" applyFont="1" applyFill="1" applyBorder="1" applyAlignment="1">
      <alignment horizontal="left" vertical="center"/>
    </xf>
    <xf numFmtId="3" fontId="53" fillId="33" borderId="73" xfId="1" applyNumberFormat="1" applyFont="1" applyFill="1" applyBorder="1" applyAlignment="1">
      <alignment horizontal="left" vertical="center"/>
    </xf>
    <xf numFmtId="3" fontId="53" fillId="33" borderId="73" xfId="1" applyNumberFormat="1" applyFont="1" applyFill="1" applyBorder="1" applyAlignment="1">
      <alignment horizontal="center" vertical="center"/>
    </xf>
    <xf numFmtId="3" fontId="53" fillId="22" borderId="82" xfId="1" applyNumberFormat="1" applyFont="1" applyFill="1" applyBorder="1" applyAlignment="1">
      <alignment horizontal="center" vertical="center"/>
    </xf>
    <xf numFmtId="3" fontId="53" fillId="35" borderId="73" xfId="1" applyNumberFormat="1" applyFont="1" applyFill="1" applyBorder="1" applyAlignment="1">
      <alignment horizontal="center" vertical="center"/>
    </xf>
    <xf numFmtId="0" fontId="53" fillId="35" borderId="0" xfId="1" applyFont="1" applyFill="1" applyBorder="1" applyAlignment="1">
      <alignment horizontal="left" vertical="center"/>
    </xf>
    <xf numFmtId="3" fontId="53" fillId="34" borderId="73" xfId="1" applyNumberFormat="1" applyFont="1" applyFill="1" applyBorder="1" applyAlignment="1">
      <alignment horizontal="center" vertical="center"/>
    </xf>
    <xf numFmtId="3" fontId="53" fillId="22" borderId="73" xfId="1" applyNumberFormat="1" applyFont="1" applyFill="1" applyBorder="1" applyAlignment="1">
      <alignment horizontal="center" vertical="center"/>
    </xf>
    <xf numFmtId="0" fontId="53" fillId="14" borderId="8" xfId="1" applyFont="1" applyFill="1" applyBorder="1" applyAlignment="1">
      <alignment horizontal="left" vertical="center"/>
    </xf>
    <xf numFmtId="3" fontId="53" fillId="14" borderId="82" xfId="1" applyNumberFormat="1" applyFont="1" applyFill="1" applyBorder="1" applyAlignment="1">
      <alignment horizontal="left" vertical="center"/>
    </xf>
    <xf numFmtId="3" fontId="53" fillId="14" borderId="82" xfId="1" applyNumberFormat="1" applyFont="1" applyFill="1" applyBorder="1" applyAlignment="1">
      <alignment horizontal="center" vertical="center"/>
    </xf>
    <xf numFmtId="0" fontId="53" fillId="14" borderId="0" xfId="1" applyFont="1" applyFill="1" applyBorder="1" applyAlignment="1">
      <alignment horizontal="left" vertical="center"/>
    </xf>
    <xf numFmtId="3" fontId="53" fillId="14" borderId="73" xfId="1" applyNumberFormat="1" applyFont="1" applyFill="1" applyBorder="1" applyAlignment="1">
      <alignment horizontal="left" vertical="center"/>
    </xf>
    <xf numFmtId="3" fontId="53" fillId="14" borderId="73" xfId="1" applyNumberFormat="1" applyFont="1" applyFill="1" applyBorder="1" applyAlignment="1">
      <alignment horizontal="center" vertical="center"/>
    </xf>
    <xf numFmtId="0" fontId="23" fillId="13" borderId="87" xfId="15" applyFont="1" applyFill="1" applyBorder="1" applyAlignment="1">
      <alignment horizontal="left" vertical="center"/>
    </xf>
    <xf numFmtId="3" fontId="53" fillId="13" borderId="26" xfId="1" applyNumberFormat="1" applyFont="1" applyFill="1" applyBorder="1" applyAlignment="1">
      <alignment horizontal="left" vertical="center"/>
    </xf>
    <xf numFmtId="3" fontId="53" fillId="13" borderId="26" xfId="1" applyNumberFormat="1" applyFont="1" applyFill="1" applyBorder="1" applyAlignment="1">
      <alignment horizontal="center" vertical="center"/>
    </xf>
    <xf numFmtId="0" fontId="23" fillId="13" borderId="8" xfId="15" applyFont="1" applyFill="1" applyBorder="1" applyAlignment="1">
      <alignment horizontal="left" vertical="center"/>
    </xf>
    <xf numFmtId="3" fontId="2" fillId="13" borderId="82" xfId="1" applyNumberFormat="1" applyFont="1" applyFill="1" applyBorder="1" applyAlignment="1">
      <alignment horizontal="center" vertical="center"/>
    </xf>
    <xf numFmtId="3" fontId="53" fillId="13" borderId="82" xfId="1" applyNumberFormat="1" applyFont="1" applyFill="1" applyBorder="1" applyAlignment="1">
      <alignment horizontal="left" vertical="center"/>
    </xf>
    <xf numFmtId="3" fontId="53" fillId="13" borderId="82" xfId="1" applyNumberFormat="1" applyFont="1" applyFill="1" applyBorder="1" applyAlignment="1">
      <alignment horizontal="center" vertical="center"/>
    </xf>
    <xf numFmtId="0" fontId="23" fillId="14" borderId="0" xfId="15" applyFont="1" applyFill="1" applyBorder="1" applyAlignment="1">
      <alignment horizontal="left" vertical="center"/>
    </xf>
    <xf numFmtId="3" fontId="53" fillId="13" borderId="73" xfId="1" applyNumberFormat="1" applyFont="1" applyFill="1" applyBorder="1" applyAlignment="1">
      <alignment horizontal="left" vertical="center"/>
    </xf>
    <xf numFmtId="3" fontId="53" fillId="13" borderId="73" xfId="1" applyNumberFormat="1" applyFont="1" applyFill="1" applyBorder="1" applyAlignment="1">
      <alignment horizontal="center" vertical="center"/>
    </xf>
    <xf numFmtId="0" fontId="23" fillId="14" borderId="8" xfId="15" applyFont="1" applyFill="1" applyBorder="1" applyAlignment="1">
      <alignment horizontal="left" vertical="center"/>
    </xf>
    <xf numFmtId="0" fontId="53" fillId="13" borderId="0" xfId="1" applyFont="1" applyFill="1" applyBorder="1" applyAlignment="1">
      <alignment horizontal="left" vertical="center"/>
    </xf>
    <xf numFmtId="0" fontId="23" fillId="13" borderId="0" xfId="15" applyFont="1" applyFill="1" applyBorder="1" applyAlignment="1">
      <alignment horizontal="left" vertical="center"/>
    </xf>
    <xf numFmtId="3" fontId="53" fillId="15" borderId="26" xfId="1" applyNumberFormat="1" applyFont="1" applyFill="1" applyBorder="1" applyAlignment="1">
      <alignment horizontal="left" vertical="center"/>
    </xf>
    <xf numFmtId="3" fontId="108" fillId="13" borderId="82" xfId="1" applyNumberFormat="1" applyFont="1" applyFill="1" applyBorder="1" applyAlignment="1">
      <alignment horizontal="center" vertical="center"/>
    </xf>
    <xf numFmtId="3" fontId="53" fillId="16" borderId="73" xfId="1" applyNumberFormat="1" applyFont="1" applyFill="1" applyBorder="1" applyAlignment="1">
      <alignment horizontal="left" vertical="center"/>
    </xf>
    <xf numFmtId="3" fontId="53" fillId="16" borderId="73" xfId="1" applyNumberFormat="1" applyFont="1" applyFill="1" applyBorder="1" applyAlignment="1">
      <alignment horizontal="center" vertical="center"/>
    </xf>
    <xf numFmtId="3" fontId="53" fillId="16" borderId="82" xfId="1" applyNumberFormat="1" applyFont="1" applyFill="1" applyBorder="1" applyAlignment="1">
      <alignment horizontal="left" vertical="center"/>
    </xf>
    <xf numFmtId="3" fontId="53" fillId="16" borderId="82" xfId="1" applyNumberFormat="1" applyFont="1" applyFill="1" applyBorder="1" applyAlignment="1">
      <alignment horizontal="center" vertical="center"/>
    </xf>
    <xf numFmtId="0" fontId="53" fillId="15" borderId="0" xfId="1" applyFont="1" applyFill="1" applyBorder="1" applyAlignment="1">
      <alignment horizontal="left" vertical="center"/>
    </xf>
    <xf numFmtId="3" fontId="53" fillId="15" borderId="73" xfId="1" applyNumberFormat="1" applyFont="1" applyFill="1" applyBorder="1" applyAlignment="1">
      <alignment horizontal="left" vertical="center"/>
    </xf>
    <xf numFmtId="3" fontId="53" fillId="15" borderId="73" xfId="1" applyNumberFormat="1" applyFont="1" applyFill="1" applyBorder="1" applyAlignment="1">
      <alignment horizontal="center" vertical="center"/>
    </xf>
    <xf numFmtId="3" fontId="53" fillId="15" borderId="26" xfId="1" applyNumberFormat="1" applyFont="1" applyFill="1" applyBorder="1" applyAlignment="1">
      <alignment horizontal="center" vertical="center"/>
    </xf>
    <xf numFmtId="0" fontId="53" fillId="12" borderId="0" xfId="1" applyFont="1" applyFill="1" applyBorder="1" applyAlignment="1">
      <alignment horizontal="left" vertical="center"/>
    </xf>
    <xf numFmtId="3" fontId="53" fillId="12" borderId="73" xfId="1" applyNumberFormat="1" applyFont="1" applyFill="1" applyBorder="1" applyAlignment="1">
      <alignment horizontal="left" vertical="center"/>
    </xf>
    <xf numFmtId="3" fontId="53" fillId="12" borderId="73" xfId="1" applyNumberFormat="1" applyFont="1" applyFill="1" applyBorder="1" applyAlignment="1">
      <alignment horizontal="center" vertical="center"/>
    </xf>
    <xf numFmtId="0" fontId="23" fillId="14" borderId="87" xfId="15" applyFont="1" applyFill="1" applyBorder="1" applyAlignment="1">
      <alignment horizontal="left" vertical="center"/>
    </xf>
    <xf numFmtId="0" fontId="53" fillId="15" borderId="8" xfId="1" applyFont="1" applyFill="1" applyBorder="1" applyAlignment="1">
      <alignment horizontal="left" vertical="center"/>
    </xf>
    <xf numFmtId="3" fontId="53" fillId="15" borderId="82" xfId="1" applyNumberFormat="1" applyFont="1" applyFill="1" applyBorder="1" applyAlignment="1">
      <alignment horizontal="left" vertical="center"/>
    </xf>
    <xf numFmtId="3" fontId="53" fillId="15" borderId="82" xfId="1" applyNumberFormat="1" applyFont="1" applyFill="1" applyBorder="1" applyAlignment="1">
      <alignment horizontal="center" vertical="center"/>
    </xf>
    <xf numFmtId="3" fontId="2" fillId="13" borderId="73" xfId="1" applyNumberFormat="1" applyFont="1" applyFill="1" applyBorder="1" applyAlignment="1">
      <alignment horizontal="center" vertical="center"/>
    </xf>
    <xf numFmtId="0" fontId="23" fillId="16" borderId="0" xfId="15" applyFont="1" applyFill="1" applyBorder="1" applyAlignment="1">
      <alignment horizontal="left" vertical="center"/>
    </xf>
    <xf numFmtId="0" fontId="53" fillId="16" borderId="0" xfId="1" applyFont="1" applyFill="1" applyBorder="1" applyAlignment="1">
      <alignment horizontal="left" vertical="center"/>
    </xf>
    <xf numFmtId="0" fontId="23" fillId="16" borderId="87" xfId="15" applyFont="1" applyFill="1" applyBorder="1" applyAlignment="1">
      <alignment horizontal="left" vertical="center"/>
    </xf>
    <xf numFmtId="0" fontId="23" fillId="16" borderId="8" xfId="15" applyFont="1" applyFill="1" applyBorder="1" applyAlignment="1">
      <alignment horizontal="left" vertical="center"/>
    </xf>
    <xf numFmtId="3" fontId="53" fillId="12" borderId="82" xfId="1" applyNumberFormat="1" applyFont="1" applyFill="1" applyBorder="1" applyAlignment="1">
      <alignment horizontal="left" vertical="center"/>
    </xf>
    <xf numFmtId="3" fontId="53" fillId="12" borderId="82" xfId="1" applyNumberFormat="1" applyFont="1" applyFill="1" applyBorder="1" applyAlignment="1">
      <alignment horizontal="center" vertical="center"/>
    </xf>
    <xf numFmtId="3" fontId="108" fillId="13" borderId="26" xfId="1" applyNumberFormat="1" applyFont="1" applyFill="1" applyBorder="1" applyAlignment="1">
      <alignment horizontal="center" vertical="center"/>
    </xf>
    <xf numFmtId="3" fontId="2" fillId="14" borderId="73" xfId="1" applyNumberFormat="1" applyFont="1" applyFill="1" applyBorder="1" applyAlignment="1">
      <alignment horizontal="center" vertical="center"/>
    </xf>
    <xf numFmtId="3" fontId="2" fillId="22" borderId="82" xfId="1" applyNumberFormat="1" applyFont="1" applyFill="1" applyBorder="1" applyAlignment="1">
      <alignment horizontal="center" vertical="center"/>
    </xf>
    <xf numFmtId="0" fontId="53" fillId="16" borderId="87" xfId="1" applyFont="1" applyFill="1" applyBorder="1" applyAlignment="1">
      <alignment horizontal="left" vertical="center"/>
    </xf>
    <xf numFmtId="3" fontId="53" fillId="16" borderId="26" xfId="1" applyNumberFormat="1" applyFont="1" applyFill="1" applyBorder="1" applyAlignment="1">
      <alignment horizontal="left" vertical="center"/>
    </xf>
    <xf numFmtId="3" fontId="53" fillId="16" borderId="26" xfId="1" applyNumberFormat="1" applyFont="1" applyFill="1" applyBorder="1" applyAlignment="1">
      <alignment horizontal="center" vertical="center"/>
    </xf>
    <xf numFmtId="0" fontId="23" fillId="19" borderId="87" xfId="15" applyFont="1" applyFill="1" applyBorder="1" applyAlignment="1">
      <alignment horizontal="left" vertical="center"/>
    </xf>
    <xf numFmtId="3" fontId="53" fillId="19" borderId="82" xfId="1" applyNumberFormat="1" applyFont="1" applyFill="1" applyBorder="1" applyAlignment="1">
      <alignment horizontal="left" vertical="center"/>
    </xf>
    <xf numFmtId="3" fontId="53" fillId="19" borderId="82" xfId="1" applyNumberFormat="1" applyFont="1" applyFill="1" applyBorder="1" applyAlignment="1">
      <alignment horizontal="center" vertical="center"/>
    </xf>
    <xf numFmtId="0" fontId="53" fillId="22" borderId="0" xfId="1" applyFont="1" applyFill="1" applyBorder="1" applyAlignment="1">
      <alignment horizontal="left" vertical="center"/>
    </xf>
    <xf numFmtId="3" fontId="53" fillId="22" borderId="73" xfId="1" applyNumberFormat="1" applyFont="1" applyFill="1" applyBorder="1" applyAlignment="1">
      <alignment horizontal="left" vertical="center"/>
    </xf>
    <xf numFmtId="0" fontId="23" fillId="22" borderId="0" xfId="15" applyFont="1" applyFill="1" applyBorder="1" applyAlignment="1">
      <alignment horizontal="left" vertical="center"/>
    </xf>
    <xf numFmtId="3" fontId="53" fillId="19" borderId="26" xfId="1" applyNumberFormat="1" applyFont="1" applyFill="1" applyBorder="1" applyAlignment="1">
      <alignment horizontal="left" vertical="center"/>
    </xf>
    <xf numFmtId="0" fontId="23" fillId="3" borderId="8" xfId="15" applyFont="1" applyFill="1" applyBorder="1" applyAlignment="1">
      <alignment horizontal="left" vertical="center"/>
    </xf>
    <xf numFmtId="0" fontId="53" fillId="19" borderId="0" xfId="1" applyFont="1" applyFill="1" applyBorder="1" applyAlignment="1">
      <alignment horizontal="left" vertical="center"/>
    </xf>
    <xf numFmtId="3" fontId="53" fillId="19" borderId="73" xfId="1" applyNumberFormat="1" applyFont="1" applyFill="1" applyBorder="1" applyAlignment="1">
      <alignment horizontal="left" vertical="center"/>
    </xf>
    <xf numFmtId="3" fontId="53" fillId="19" borderId="73" xfId="1" applyNumberFormat="1" applyFont="1" applyFill="1" applyBorder="1" applyAlignment="1">
      <alignment horizontal="center" vertical="center"/>
    </xf>
    <xf numFmtId="0" fontId="23" fillId="3" borderId="0" xfId="15" applyFont="1" applyFill="1" applyBorder="1" applyAlignment="1">
      <alignment horizontal="left" vertical="center"/>
    </xf>
    <xf numFmtId="3" fontId="53" fillId="19" borderId="26" xfId="1" applyNumberFormat="1" applyFont="1" applyFill="1" applyBorder="1" applyAlignment="1">
      <alignment horizontal="center" vertical="center"/>
    </xf>
    <xf numFmtId="3" fontId="53" fillId="22" borderId="82" xfId="1" applyNumberFormat="1" applyFont="1" applyFill="1" applyBorder="1" applyAlignment="1">
      <alignment horizontal="left" vertical="center"/>
    </xf>
    <xf numFmtId="0" fontId="23" fillId="3" borderId="87" xfId="15" applyFont="1" applyFill="1" applyBorder="1" applyAlignment="1">
      <alignment horizontal="left" vertical="center"/>
    </xf>
    <xf numFmtId="3" fontId="2" fillId="19" borderId="73" xfId="1" applyNumberFormat="1" applyFont="1" applyFill="1" applyBorder="1" applyAlignment="1">
      <alignment horizontal="center" vertical="center"/>
    </xf>
    <xf numFmtId="0" fontId="23" fillId="19" borderId="0" xfId="15" applyFont="1" applyFill="1" applyBorder="1" applyAlignment="1">
      <alignment horizontal="left" vertical="center"/>
    </xf>
    <xf numFmtId="3" fontId="53" fillId="22" borderId="26" xfId="1" applyNumberFormat="1" applyFont="1" applyFill="1" applyBorder="1" applyAlignment="1">
      <alignment horizontal="left" vertical="center"/>
    </xf>
    <xf numFmtId="0" fontId="53" fillId="22" borderId="8" xfId="1" applyFont="1" applyFill="1" applyBorder="1" applyAlignment="1">
      <alignment horizontal="left" vertical="center"/>
    </xf>
    <xf numFmtId="0" fontId="53" fillId="3" borderId="0" xfId="1" applyFont="1" applyFill="1" applyBorder="1" applyAlignment="1">
      <alignment horizontal="left" vertical="center"/>
    </xf>
    <xf numFmtId="0" fontId="53" fillId="3" borderId="87" xfId="1" applyFont="1" applyFill="1" applyBorder="1" applyAlignment="1">
      <alignment horizontal="left" vertical="center"/>
    </xf>
    <xf numFmtId="0" fontId="23" fillId="22" borderId="8" xfId="15" applyFont="1" applyFill="1" applyBorder="1" applyAlignment="1">
      <alignment horizontal="left" vertical="center"/>
    </xf>
    <xf numFmtId="3" fontId="53" fillId="19" borderId="61" xfId="1" applyNumberFormat="1" applyFont="1" applyFill="1" applyBorder="1" applyAlignment="1">
      <alignment horizontal="left" vertical="center"/>
    </xf>
    <xf numFmtId="3" fontId="53" fillId="19" borderId="61" xfId="1" applyNumberFormat="1" applyFont="1" applyFill="1" applyBorder="1" applyAlignment="1">
      <alignment horizontal="center" vertical="center"/>
    </xf>
    <xf numFmtId="0" fontId="53" fillId="22" borderId="87" xfId="1" applyFont="1" applyFill="1" applyBorder="1" applyAlignment="1">
      <alignment horizontal="left" vertical="center"/>
    </xf>
    <xf numFmtId="3" fontId="2" fillId="22" borderId="26" xfId="1" applyNumberFormat="1" applyFont="1" applyFill="1" applyBorder="1" applyAlignment="1">
      <alignment horizontal="center" vertical="center"/>
    </xf>
    <xf numFmtId="0" fontId="53" fillId="3" borderId="8" xfId="1" applyFont="1" applyFill="1" applyBorder="1" applyAlignment="1">
      <alignment horizontal="left" vertical="center"/>
    </xf>
    <xf numFmtId="3" fontId="53" fillId="21" borderId="73" xfId="1" applyNumberFormat="1" applyFont="1" applyFill="1" applyBorder="1" applyAlignment="1">
      <alignment horizontal="left" vertical="center"/>
    </xf>
    <xf numFmtId="3" fontId="108" fillId="21" borderId="73" xfId="1" applyNumberFormat="1" applyFont="1" applyFill="1" applyBorder="1" applyAlignment="1">
      <alignment horizontal="center" vertical="center"/>
    </xf>
    <xf numFmtId="3" fontId="114" fillId="28" borderId="0" xfId="1" applyNumberFormat="1" applyFont="1" applyFill="1" applyBorder="1" applyAlignment="1">
      <alignment horizontal="center" vertical="center"/>
    </xf>
    <xf numFmtId="3" fontId="2" fillId="28" borderId="73" xfId="1" applyNumberFormat="1" applyFont="1" applyFill="1" applyBorder="1" applyAlignment="1">
      <alignment horizontal="right" vertical="center"/>
    </xf>
    <xf numFmtId="3" fontId="2" fillId="28" borderId="73" xfId="1" applyNumberFormat="1" applyFont="1" applyFill="1" applyBorder="1" applyAlignment="1">
      <alignment horizontal="center" vertical="center"/>
    </xf>
    <xf numFmtId="3" fontId="53" fillId="28" borderId="73" xfId="1" applyNumberFormat="1" applyFont="1" applyFill="1" applyBorder="1" applyAlignment="1">
      <alignment horizontal="left" vertical="center"/>
    </xf>
    <xf numFmtId="3" fontId="53" fillId="28" borderId="73" xfId="1" applyNumberFormat="1" applyFont="1" applyFill="1" applyBorder="1" applyAlignment="1">
      <alignment horizontal="center" vertical="center"/>
    </xf>
    <xf numFmtId="0" fontId="53" fillId="29" borderId="0" xfId="1" applyFont="1" applyFill="1" applyBorder="1" applyAlignment="1">
      <alignment horizontal="left" vertical="center"/>
    </xf>
    <xf numFmtId="3" fontId="113" fillId="29" borderId="0" xfId="1" applyNumberFormat="1" applyFont="1" applyFill="1" applyBorder="1" applyAlignment="1">
      <alignment horizontal="center" vertical="center"/>
    </xf>
    <xf numFmtId="3" fontId="2" fillId="29" borderId="73" xfId="1" applyNumberFormat="1" applyFont="1" applyFill="1" applyBorder="1" applyAlignment="1">
      <alignment horizontal="right" vertical="center"/>
    </xf>
    <xf numFmtId="3" fontId="2" fillId="29" borderId="73" xfId="1" applyNumberFormat="1" applyFont="1" applyFill="1" applyBorder="1" applyAlignment="1">
      <alignment horizontal="center" vertical="center"/>
    </xf>
    <xf numFmtId="3" fontId="2" fillId="29" borderId="73" xfId="1" applyNumberFormat="1" applyFont="1" applyFill="1" applyBorder="1" applyAlignment="1">
      <alignment horizontal="left" vertical="center"/>
    </xf>
    <xf numFmtId="0" fontId="53" fillId="27" borderId="0" xfId="1" applyFont="1" applyFill="1" applyBorder="1" applyAlignment="1">
      <alignment horizontal="left" vertical="center"/>
    </xf>
    <xf numFmtId="3" fontId="106" fillId="27" borderId="73" xfId="1" applyNumberFormat="1" applyFont="1" applyFill="1" applyBorder="1" applyAlignment="1">
      <alignment horizontal="right" vertical="center"/>
    </xf>
    <xf numFmtId="3" fontId="53" fillId="27" borderId="73" xfId="1" applyNumberFormat="1" applyFont="1" applyFill="1" applyBorder="1" applyAlignment="1">
      <alignment horizontal="left" vertical="center"/>
    </xf>
    <xf numFmtId="3" fontId="53" fillId="27" borderId="73" xfId="1" applyNumberFormat="1" applyFont="1" applyFill="1" applyBorder="1" applyAlignment="1">
      <alignment horizontal="center" vertical="center"/>
    </xf>
    <xf numFmtId="0" fontId="53" fillId="28" borderId="0" xfId="1" applyFont="1" applyFill="1" applyBorder="1" applyAlignment="1">
      <alignment horizontal="left" vertical="center"/>
    </xf>
    <xf numFmtId="3" fontId="108" fillId="28" borderId="0" xfId="1" applyNumberFormat="1" applyFont="1" applyFill="1" applyBorder="1" applyAlignment="1">
      <alignment horizontal="center" vertical="center"/>
    </xf>
    <xf numFmtId="3" fontId="106" fillId="27" borderId="73" xfId="1" applyNumberFormat="1" applyFont="1" applyFill="1" applyBorder="1" applyAlignment="1">
      <alignment horizontal="center" vertical="center"/>
    </xf>
    <xf numFmtId="3" fontId="2" fillId="28" borderId="73" xfId="1" applyNumberFormat="1" applyFont="1" applyFill="1" applyBorder="1" applyAlignment="1">
      <alignment horizontal="left" vertical="center"/>
    </xf>
    <xf numFmtId="3" fontId="106" fillId="28" borderId="73" xfId="1" applyNumberFormat="1" applyFont="1" applyFill="1" applyBorder="1" applyAlignment="1">
      <alignment horizontal="right" vertical="center"/>
    </xf>
    <xf numFmtId="0" fontId="2" fillId="2" borderId="8" xfId="15" applyFont="1" applyFill="1" applyBorder="1" applyAlignment="1">
      <alignment horizontal="left" vertical="center"/>
    </xf>
    <xf numFmtId="3" fontId="108" fillId="29" borderId="10" xfId="1" applyNumberFormat="1" applyFont="1" applyFill="1" applyBorder="1" applyAlignment="1">
      <alignment horizontal="center" vertical="center"/>
    </xf>
    <xf numFmtId="3" fontId="2" fillId="29" borderId="37" xfId="1" applyNumberFormat="1" applyFont="1" applyFill="1" applyBorder="1" applyAlignment="1">
      <alignment horizontal="right" vertical="center"/>
    </xf>
    <xf numFmtId="3" fontId="2" fillId="29" borderId="38" xfId="1" applyNumberFormat="1" applyFont="1" applyFill="1" applyBorder="1" applyAlignment="1">
      <alignment horizontal="center" vertical="center"/>
    </xf>
    <xf numFmtId="3" fontId="2" fillId="29" borderId="37" xfId="1" applyNumberFormat="1" applyFont="1" applyFill="1" applyBorder="1" applyAlignment="1">
      <alignment horizontal="center" vertical="center"/>
    </xf>
    <xf numFmtId="0" fontId="2" fillId="29" borderId="37" xfId="1" applyFont="1" applyFill="1" applyBorder="1" applyAlignment="1">
      <alignment horizontal="center" vertical="center"/>
    </xf>
    <xf numFmtId="3" fontId="2" fillId="29" borderId="37" xfId="1" applyNumberFormat="1" applyFont="1" applyFill="1" applyBorder="1" applyAlignment="1">
      <alignment horizontal="left" vertical="center"/>
    </xf>
    <xf numFmtId="0" fontId="115" fillId="0" borderId="2" xfId="1" applyFont="1" applyFill="1" applyBorder="1" applyAlignment="1">
      <alignment horizontal="center" vertical="center"/>
    </xf>
    <xf numFmtId="0" fontId="2" fillId="0" borderId="73" xfId="1" applyFont="1" applyFill="1" applyBorder="1" applyAlignment="1">
      <alignment horizontal="center" vertical="center"/>
    </xf>
    <xf numFmtId="14" fontId="53" fillId="0" borderId="26" xfId="1" applyNumberFormat="1" applyFont="1" applyFill="1" applyBorder="1" applyAlignment="1">
      <alignment horizontal="center" vertical="center"/>
    </xf>
    <xf numFmtId="14" fontId="53" fillId="0" borderId="73" xfId="1" applyNumberFormat="1" applyFont="1" applyFill="1" applyBorder="1" applyAlignment="1">
      <alignment horizontal="center" vertical="center"/>
    </xf>
    <xf numFmtId="0" fontId="113" fillId="0" borderId="23" xfId="1" applyFont="1" applyFill="1" applyBorder="1" applyAlignment="1">
      <alignment horizontal="center" vertical="center"/>
    </xf>
    <xf numFmtId="0" fontId="2" fillId="0" borderId="72" xfId="1" applyFont="1" applyFill="1" applyBorder="1" applyAlignment="1">
      <alignment horizontal="center" vertical="center"/>
    </xf>
    <xf numFmtId="14" fontId="53" fillId="0" borderId="72" xfId="1" applyNumberFormat="1" applyFont="1" applyFill="1" applyBorder="1" applyAlignment="1">
      <alignment horizontal="center" vertical="center"/>
    </xf>
    <xf numFmtId="0" fontId="113" fillId="0" borderId="17" xfId="1" applyFont="1" applyFill="1" applyBorder="1" applyAlignment="1">
      <alignment horizontal="center" vertical="center"/>
    </xf>
    <xf numFmtId="0" fontId="2" fillId="0" borderId="26" xfId="1" applyFont="1" applyFill="1" applyBorder="1" applyAlignment="1">
      <alignment horizontal="center" vertical="center"/>
    </xf>
    <xf numFmtId="14" fontId="53" fillId="0" borderId="61" xfId="1" applyNumberFormat="1" applyFont="1" applyFill="1" applyBorder="1" applyAlignment="1">
      <alignment horizontal="center" vertical="center"/>
    </xf>
    <xf numFmtId="14" fontId="53" fillId="0" borderId="67" xfId="1" applyNumberFormat="1" applyFont="1" applyFill="1" applyBorder="1" applyAlignment="1">
      <alignment horizontal="center" vertical="center"/>
    </xf>
    <xf numFmtId="0" fontId="115" fillId="0" borderId="2" xfId="1" applyFont="1" applyFill="1" applyBorder="1" applyAlignment="1">
      <alignment horizontal="center"/>
    </xf>
    <xf numFmtId="0" fontId="113" fillId="0" borderId="27" xfId="1" applyFont="1" applyFill="1" applyBorder="1" applyAlignment="1">
      <alignment horizontal="center" vertical="center"/>
    </xf>
    <xf numFmtId="0" fontId="115" fillId="0" borderId="0" xfId="1" applyFont="1" applyFill="1" applyBorder="1" applyAlignment="1">
      <alignment horizontal="center" vertical="center"/>
    </xf>
    <xf numFmtId="0" fontId="115" fillId="0" borderId="64" xfId="1" applyFont="1" applyFill="1" applyBorder="1" applyAlignment="1">
      <alignment horizontal="center"/>
    </xf>
    <xf numFmtId="0" fontId="113" fillId="0" borderId="33" xfId="1" applyFont="1" applyFill="1" applyBorder="1" applyAlignment="1">
      <alignment horizontal="center" vertical="center"/>
    </xf>
    <xf numFmtId="0" fontId="113" fillId="6" borderId="30" xfId="1" applyFont="1" applyFill="1" applyBorder="1" applyAlignment="1">
      <alignment horizontal="center" vertical="center"/>
    </xf>
    <xf numFmtId="0" fontId="2" fillId="6" borderId="73" xfId="1" applyFont="1" applyFill="1" applyBorder="1" applyAlignment="1">
      <alignment horizontal="center" vertical="center"/>
    </xf>
    <xf numFmtId="14" fontId="53" fillId="6" borderId="73" xfId="1" applyNumberFormat="1" applyFont="1" applyFill="1" applyBorder="1" applyAlignment="1">
      <alignment horizontal="center" vertical="center"/>
    </xf>
    <xf numFmtId="0" fontId="113" fillId="6" borderId="23" xfId="1" applyFont="1" applyFill="1" applyBorder="1" applyAlignment="1">
      <alignment horizontal="center" vertical="center"/>
    </xf>
    <xf numFmtId="0" fontId="113" fillId="6" borderId="17" xfId="1" applyFont="1" applyFill="1" applyBorder="1" applyAlignment="1">
      <alignment horizontal="center" vertical="center"/>
    </xf>
    <xf numFmtId="0" fontId="115" fillId="6" borderId="0" xfId="1" applyFont="1" applyFill="1" applyBorder="1" applyAlignment="1">
      <alignment horizontal="center"/>
    </xf>
    <xf numFmtId="0" fontId="108" fillId="6" borderId="73" xfId="1" applyFont="1" applyFill="1" applyBorder="1" applyAlignment="1">
      <alignment horizontal="center" vertical="center"/>
    </xf>
    <xf numFmtId="0" fontId="2" fillId="6" borderId="26" xfId="1" applyFont="1" applyFill="1" applyBorder="1" applyAlignment="1">
      <alignment horizontal="center" vertical="center"/>
    </xf>
    <xf numFmtId="14" fontId="53" fillId="6" borderId="26" xfId="1" applyNumberFormat="1" applyFont="1" applyFill="1" applyBorder="1" applyAlignment="1">
      <alignment horizontal="center" vertical="center"/>
    </xf>
    <xf numFmtId="0" fontId="2" fillId="6" borderId="82" xfId="1" applyFont="1" applyFill="1" applyBorder="1" applyAlignment="1">
      <alignment horizontal="center" vertical="center"/>
    </xf>
    <xf numFmtId="14" fontId="53" fillId="6" borderId="82" xfId="1" applyNumberFormat="1" applyFont="1" applyFill="1" applyBorder="1" applyAlignment="1">
      <alignment horizontal="center" vertical="center"/>
    </xf>
    <xf numFmtId="0" fontId="108" fillId="6" borderId="82" xfId="1" applyFont="1" applyFill="1" applyBorder="1" applyAlignment="1">
      <alignment horizontal="center" vertical="center"/>
    </xf>
    <xf numFmtId="0" fontId="116" fillId="6" borderId="0" xfId="1" applyFont="1" applyFill="1" applyBorder="1" applyAlignment="1">
      <alignment horizontal="center"/>
    </xf>
    <xf numFmtId="0" fontId="116" fillId="6" borderId="2" xfId="1" applyFont="1" applyFill="1" applyBorder="1" applyAlignment="1">
      <alignment horizontal="center"/>
    </xf>
    <xf numFmtId="0" fontId="2" fillId="9" borderId="73" xfId="1" applyFont="1" applyFill="1" applyBorder="1" applyAlignment="1">
      <alignment horizontal="center" vertical="center"/>
    </xf>
    <xf numFmtId="0" fontId="113" fillId="8" borderId="17" xfId="1" applyFont="1" applyFill="1" applyBorder="1" applyAlignment="1">
      <alignment horizontal="center" vertical="center"/>
    </xf>
    <xf numFmtId="0" fontId="115" fillId="35" borderId="24" xfId="1" applyFont="1" applyFill="1" applyBorder="1" applyAlignment="1">
      <alignment horizontal="center" vertical="center"/>
    </xf>
    <xf numFmtId="14" fontId="53" fillId="34" borderId="73" xfId="1" applyNumberFormat="1" applyFont="1" applyFill="1" applyBorder="1" applyAlignment="1">
      <alignment horizontal="center" vertical="center"/>
    </xf>
    <xf numFmtId="0" fontId="113" fillId="35" borderId="17" xfId="1" applyFont="1" applyFill="1" applyBorder="1" applyAlignment="1">
      <alignment horizontal="center" vertical="center"/>
    </xf>
    <xf numFmtId="0" fontId="2" fillId="33" borderId="73" xfId="1" applyFont="1" applyFill="1" applyBorder="1" applyAlignment="1">
      <alignment horizontal="center" vertical="center"/>
    </xf>
    <xf numFmtId="14" fontId="53" fillId="33" borderId="73" xfId="1" applyNumberFormat="1" applyFont="1" applyFill="1" applyBorder="1" applyAlignment="1">
      <alignment horizontal="center" vertical="center"/>
    </xf>
    <xf numFmtId="14" fontId="53" fillId="34" borderId="82" xfId="1" applyNumberFormat="1" applyFont="1" applyFill="1" applyBorder="1" applyAlignment="1">
      <alignment horizontal="center" vertical="center"/>
    </xf>
    <xf numFmtId="0" fontId="2" fillId="37" borderId="73" xfId="1" applyFont="1" applyFill="1" applyBorder="1" applyAlignment="1">
      <alignment horizontal="center" vertical="center"/>
    </xf>
    <xf numFmtId="14" fontId="53" fillId="37" borderId="73" xfId="1" applyNumberFormat="1" applyFont="1" applyFill="1" applyBorder="1" applyAlignment="1">
      <alignment horizontal="center" vertical="center"/>
    </xf>
    <xf numFmtId="0" fontId="2" fillId="36" borderId="82" xfId="1" applyFont="1" applyFill="1" applyBorder="1" applyAlignment="1">
      <alignment horizontal="center" vertical="center"/>
    </xf>
    <xf numFmtId="14" fontId="53" fillId="36" borderId="82" xfId="1" applyNumberFormat="1" applyFont="1" applyFill="1" applyBorder="1" applyAlignment="1">
      <alignment horizontal="center" vertical="center"/>
    </xf>
    <xf numFmtId="0" fontId="115" fillId="35" borderId="2" xfId="1" applyFont="1" applyFill="1" applyBorder="1" applyAlignment="1">
      <alignment horizontal="center"/>
    </xf>
    <xf numFmtId="14" fontId="53" fillId="35" borderId="73" xfId="1" applyNumberFormat="1" applyFont="1" applyFill="1" applyBorder="1" applyAlignment="1">
      <alignment horizontal="center" vertical="center"/>
    </xf>
    <xf numFmtId="14" fontId="53" fillId="36" borderId="73" xfId="1" applyNumberFormat="1" applyFont="1" applyFill="1" applyBorder="1" applyAlignment="1">
      <alignment horizontal="center" vertical="center"/>
    </xf>
    <xf numFmtId="0" fontId="113" fillId="35" borderId="23" xfId="1" applyFont="1" applyFill="1" applyBorder="1" applyAlignment="1">
      <alignment horizontal="center" vertical="center"/>
    </xf>
    <xf numFmtId="0" fontId="115" fillId="35" borderId="24" xfId="1" applyFont="1" applyFill="1" applyBorder="1" applyAlignment="1">
      <alignment horizontal="center"/>
    </xf>
    <xf numFmtId="0" fontId="2" fillId="35" borderId="73" xfId="1" applyFont="1" applyFill="1" applyBorder="1" applyAlignment="1">
      <alignment horizontal="center" vertical="center"/>
    </xf>
    <xf numFmtId="0" fontId="113" fillId="36" borderId="23" xfId="1" applyFont="1" applyFill="1" applyBorder="1" applyAlignment="1">
      <alignment horizontal="center" vertical="center"/>
    </xf>
    <xf numFmtId="0" fontId="2" fillId="36" borderId="73" xfId="1" applyFont="1" applyFill="1" applyBorder="1" applyAlignment="1">
      <alignment horizontal="center" vertical="center"/>
    </xf>
    <xf numFmtId="0" fontId="115" fillId="13" borderId="24" xfId="1" applyFont="1" applyFill="1" applyBorder="1" applyAlignment="1">
      <alignment horizontal="center" vertical="center"/>
    </xf>
    <xf numFmtId="0" fontId="2" fillId="14" borderId="82" xfId="1" applyFont="1" applyFill="1" applyBorder="1" applyAlignment="1">
      <alignment horizontal="center" vertical="center"/>
    </xf>
    <xf numFmtId="14" fontId="53" fillId="14" borderId="82" xfId="1" applyNumberFormat="1" applyFont="1" applyFill="1" applyBorder="1" applyAlignment="1">
      <alignment horizontal="center" vertical="center"/>
    </xf>
    <xf numFmtId="0" fontId="115" fillId="14" borderId="2" xfId="1" applyFont="1" applyFill="1" applyBorder="1" applyAlignment="1">
      <alignment horizontal="center"/>
    </xf>
    <xf numFmtId="0" fontId="2" fillId="14" borderId="73" xfId="1" applyFont="1" applyFill="1" applyBorder="1" applyAlignment="1">
      <alignment horizontal="center" vertical="center"/>
    </xf>
    <xf numFmtId="14" fontId="53" fillId="14" borderId="73" xfId="1" applyNumberFormat="1" applyFont="1" applyFill="1" applyBorder="1" applyAlignment="1">
      <alignment horizontal="center" vertical="center"/>
    </xf>
    <xf numFmtId="0" fontId="113" fillId="13" borderId="30" xfId="1" applyFont="1" applyFill="1" applyBorder="1" applyAlignment="1">
      <alignment horizontal="center" vertical="center"/>
    </xf>
    <xf numFmtId="0" fontId="115" fillId="13" borderId="88" xfId="1" applyFont="1" applyFill="1" applyBorder="1" applyAlignment="1">
      <alignment horizontal="center"/>
    </xf>
    <xf numFmtId="0" fontId="2" fillId="13" borderId="26" xfId="1" applyFont="1" applyFill="1" applyBorder="1" applyAlignment="1">
      <alignment horizontal="center" vertical="center"/>
    </xf>
    <xf numFmtId="14" fontId="53" fillId="13" borderId="26" xfId="1" applyNumberFormat="1" applyFont="1" applyFill="1" applyBorder="1" applyAlignment="1">
      <alignment horizontal="center" vertical="center"/>
    </xf>
    <xf numFmtId="0" fontId="113" fillId="14" borderId="23" xfId="1" applyFont="1" applyFill="1" applyBorder="1" applyAlignment="1">
      <alignment horizontal="center" vertical="center"/>
    </xf>
    <xf numFmtId="0" fontId="115" fillId="13" borderId="24" xfId="1" applyFont="1" applyFill="1" applyBorder="1" applyAlignment="1">
      <alignment horizontal="center"/>
    </xf>
    <xf numFmtId="0" fontId="2" fillId="13" borderId="82" xfId="1" applyFont="1" applyFill="1" applyBorder="1" applyAlignment="1">
      <alignment horizontal="center" vertical="center"/>
    </xf>
    <xf numFmtId="14" fontId="53" fillId="13" borderId="82" xfId="1" applyNumberFormat="1" applyFont="1" applyFill="1" applyBorder="1" applyAlignment="1">
      <alignment horizontal="center" vertical="center"/>
    </xf>
    <xf numFmtId="0" fontId="115" fillId="17" borderId="2" xfId="1" applyFont="1" applyFill="1" applyBorder="1" applyAlignment="1">
      <alignment horizontal="center"/>
    </xf>
    <xf numFmtId="0" fontId="2" fillId="13" borderId="73" xfId="1" applyFont="1" applyFill="1" applyBorder="1" applyAlignment="1">
      <alignment horizontal="center" vertical="center"/>
    </xf>
    <xf numFmtId="14" fontId="53" fillId="13" borderId="73" xfId="1" applyNumberFormat="1" applyFont="1" applyFill="1" applyBorder="1" applyAlignment="1">
      <alignment horizontal="center" vertical="center"/>
    </xf>
    <xf numFmtId="0" fontId="115" fillId="14" borderId="24" xfId="1" applyFont="1" applyFill="1" applyBorder="1" applyAlignment="1">
      <alignment horizontal="center"/>
    </xf>
    <xf numFmtId="0" fontId="116" fillId="13" borderId="2" xfId="1" applyFont="1" applyFill="1" applyBorder="1" applyAlignment="1">
      <alignment horizontal="center"/>
    </xf>
    <xf numFmtId="0" fontId="113" fillId="14" borderId="17" xfId="1" applyFont="1" applyFill="1" applyBorder="1" applyAlignment="1">
      <alignment horizontal="center" vertical="center"/>
    </xf>
    <xf numFmtId="0" fontId="115" fillId="13" borderId="2" xfId="1" applyFont="1" applyFill="1" applyBorder="1" applyAlignment="1">
      <alignment horizontal="center"/>
    </xf>
    <xf numFmtId="14" fontId="53" fillId="15" borderId="26" xfId="1" applyNumberFormat="1" applyFont="1" applyFill="1" applyBorder="1" applyAlignment="1">
      <alignment horizontal="center" vertical="center"/>
    </xf>
    <xf numFmtId="0" fontId="116" fillId="13" borderId="24" xfId="1" applyFont="1" applyFill="1" applyBorder="1" applyAlignment="1">
      <alignment horizontal="center"/>
    </xf>
    <xf numFmtId="0" fontId="115" fillId="16" borderId="2" xfId="1" applyFont="1" applyFill="1" applyBorder="1" applyAlignment="1">
      <alignment horizontal="center"/>
    </xf>
    <xf numFmtId="0" fontId="2" fillId="16" borderId="73" xfId="1" applyFont="1" applyFill="1" applyBorder="1" applyAlignment="1">
      <alignment horizontal="center" vertical="center"/>
    </xf>
    <xf numFmtId="14" fontId="53" fillId="16" borderId="73" xfId="1" applyNumberFormat="1" applyFont="1" applyFill="1" applyBorder="1" applyAlignment="1">
      <alignment horizontal="center" vertical="center"/>
    </xf>
    <xf numFmtId="0" fontId="113" fillId="16" borderId="23" xfId="1" applyFont="1" applyFill="1" applyBorder="1" applyAlignment="1">
      <alignment horizontal="center" vertical="center"/>
    </xf>
    <xf numFmtId="0" fontId="2" fillId="16" borderId="82" xfId="1" applyFont="1" applyFill="1" applyBorder="1" applyAlignment="1">
      <alignment horizontal="center" vertical="center"/>
    </xf>
    <xf numFmtId="14" fontId="53" fillId="16" borderId="82" xfId="1" applyNumberFormat="1" applyFont="1" applyFill="1" applyBorder="1" applyAlignment="1">
      <alignment horizontal="center" vertical="center"/>
    </xf>
    <xf numFmtId="0" fontId="2" fillId="15" borderId="73" xfId="1" applyFont="1" applyFill="1" applyBorder="1" applyAlignment="1">
      <alignment horizontal="center" vertical="center"/>
    </xf>
    <xf numFmtId="14" fontId="53" fillId="15" borderId="73" xfId="1" applyNumberFormat="1" applyFont="1" applyFill="1" applyBorder="1" applyAlignment="1">
      <alignment horizontal="center" vertical="center"/>
    </xf>
    <xf numFmtId="0" fontId="115" fillId="13" borderId="88" xfId="1" applyFont="1" applyFill="1" applyBorder="1" applyAlignment="1">
      <alignment horizontal="center" vertical="center"/>
    </xf>
    <xf numFmtId="0" fontId="2" fillId="15" borderId="26" xfId="1" applyFont="1" applyFill="1" applyBorder="1" applyAlignment="1">
      <alignment horizontal="center" vertical="center"/>
    </xf>
    <xf numFmtId="0" fontId="113" fillId="13" borderId="23" xfId="1" applyFont="1" applyFill="1" applyBorder="1" applyAlignment="1">
      <alignment horizontal="center" vertical="center"/>
    </xf>
    <xf numFmtId="0" fontId="113" fillId="13" borderId="17" xfId="1" applyFont="1" applyFill="1" applyBorder="1" applyAlignment="1">
      <alignment horizontal="center" vertical="center"/>
    </xf>
    <xf numFmtId="0" fontId="115" fillId="13" borderId="2" xfId="1" applyFont="1" applyFill="1" applyBorder="1" applyAlignment="1">
      <alignment horizontal="center" vertical="center"/>
    </xf>
    <xf numFmtId="0" fontId="2" fillId="12" borderId="73" xfId="1" applyFont="1" applyFill="1" applyBorder="1" applyAlignment="1">
      <alignment horizontal="center" vertical="center"/>
    </xf>
    <xf numFmtId="14" fontId="53" fillId="12" borderId="73" xfId="1" applyNumberFormat="1" applyFont="1" applyFill="1" applyBorder="1" applyAlignment="1">
      <alignment horizontal="center" vertical="center"/>
    </xf>
    <xf numFmtId="0" fontId="113" fillId="15" borderId="23" xfId="1" applyFont="1" applyFill="1" applyBorder="1" applyAlignment="1">
      <alignment horizontal="center" vertical="center"/>
    </xf>
    <xf numFmtId="0" fontId="2" fillId="15" borderId="82" xfId="1" applyFont="1" applyFill="1" applyBorder="1" applyAlignment="1">
      <alignment horizontal="center" vertical="center"/>
    </xf>
    <xf numFmtId="14" fontId="53" fillId="15" borderId="82" xfId="1" applyNumberFormat="1" applyFont="1" applyFill="1" applyBorder="1" applyAlignment="1">
      <alignment horizontal="center" vertical="center"/>
    </xf>
    <xf numFmtId="0" fontId="113" fillId="16" borderId="17" xfId="1" applyFont="1" applyFill="1" applyBorder="1" applyAlignment="1">
      <alignment horizontal="center" vertical="center"/>
    </xf>
    <xf numFmtId="0" fontId="116" fillId="16" borderId="88" xfId="1" applyFont="1" applyFill="1" applyBorder="1" applyAlignment="1">
      <alignment horizontal="center"/>
    </xf>
    <xf numFmtId="0" fontId="116" fillId="16" borderId="24" xfId="1" applyFont="1" applyFill="1" applyBorder="1" applyAlignment="1">
      <alignment horizontal="center"/>
    </xf>
    <xf numFmtId="0" fontId="2" fillId="12" borderId="82" xfId="1" applyFont="1" applyFill="1" applyBorder="1" applyAlignment="1">
      <alignment horizontal="center" vertical="center"/>
    </xf>
    <xf numFmtId="14" fontId="53" fillId="12" borderId="82" xfId="1" applyNumberFormat="1" applyFont="1" applyFill="1" applyBorder="1" applyAlignment="1">
      <alignment horizontal="center" vertical="center"/>
    </xf>
    <xf numFmtId="0" fontId="108" fillId="13" borderId="73" xfId="1" applyFont="1" applyFill="1" applyBorder="1" applyAlignment="1">
      <alignment horizontal="center" vertical="center"/>
    </xf>
    <xf numFmtId="0" fontId="115" fillId="16" borderId="24" xfId="1" applyFont="1" applyFill="1" applyBorder="1" applyAlignment="1">
      <alignment horizontal="center"/>
    </xf>
    <xf numFmtId="14" fontId="53" fillId="13" borderId="73" xfId="1" quotePrefix="1" applyNumberFormat="1" applyFont="1" applyFill="1" applyBorder="1" applyAlignment="1">
      <alignment horizontal="center" vertical="center"/>
    </xf>
    <xf numFmtId="0" fontId="115" fillId="16" borderId="88" xfId="1" applyFont="1" applyFill="1" applyBorder="1" applyAlignment="1">
      <alignment horizontal="center"/>
    </xf>
    <xf numFmtId="0" fontId="113" fillId="16" borderId="30" xfId="1" applyFont="1" applyFill="1" applyBorder="1" applyAlignment="1">
      <alignment horizontal="center" vertical="center"/>
    </xf>
    <xf numFmtId="0" fontId="2" fillId="16" borderId="26" xfId="1" applyFont="1" applyFill="1" applyBorder="1" applyAlignment="1">
      <alignment horizontal="center" vertical="center"/>
    </xf>
    <xf numFmtId="14" fontId="53" fillId="16" borderId="26" xfId="1" applyNumberFormat="1" applyFont="1" applyFill="1" applyBorder="1" applyAlignment="1">
      <alignment horizontal="center" vertical="center"/>
    </xf>
    <xf numFmtId="0" fontId="116" fillId="19" borderId="88" xfId="1" applyFont="1" applyFill="1" applyBorder="1" applyAlignment="1">
      <alignment horizontal="center"/>
    </xf>
    <xf numFmtId="0" fontId="116" fillId="19" borderId="24" xfId="1" applyFont="1" applyFill="1" applyBorder="1" applyAlignment="1">
      <alignment horizontal="center"/>
    </xf>
    <xf numFmtId="0" fontId="2" fillId="19" borderId="82" xfId="1" applyFont="1" applyFill="1" applyBorder="1" applyAlignment="1">
      <alignment horizontal="center" vertical="center"/>
    </xf>
    <xf numFmtId="14" fontId="53" fillId="19" borderId="82" xfId="1" applyNumberFormat="1" applyFont="1" applyFill="1" applyBorder="1" applyAlignment="1">
      <alignment horizontal="center" vertical="center"/>
    </xf>
    <xf numFmtId="0" fontId="113" fillId="22" borderId="17" xfId="1" applyFont="1" applyFill="1" applyBorder="1" applyAlignment="1">
      <alignment horizontal="center" vertical="center"/>
    </xf>
    <xf numFmtId="0" fontId="115" fillId="22" borderId="2" xfId="1" applyFont="1" applyFill="1" applyBorder="1" applyAlignment="1">
      <alignment horizontal="center"/>
    </xf>
    <xf numFmtId="0" fontId="2" fillId="22" borderId="73" xfId="1" applyFont="1" applyFill="1" applyBorder="1" applyAlignment="1">
      <alignment horizontal="center" vertical="center"/>
    </xf>
    <xf numFmtId="14" fontId="53" fillId="22" borderId="73" xfId="1" applyNumberFormat="1" applyFont="1" applyFill="1" applyBorder="1" applyAlignment="1">
      <alignment horizontal="center" vertical="center"/>
    </xf>
    <xf numFmtId="0" fontId="115" fillId="22" borderId="2" xfId="1" applyFont="1" applyFill="1" applyBorder="1" applyAlignment="1">
      <alignment horizontal="center" vertical="center"/>
    </xf>
    <xf numFmtId="14" fontId="53" fillId="22" borderId="73" xfId="1" quotePrefix="1" applyNumberFormat="1" applyFont="1" applyFill="1" applyBorder="1" applyAlignment="1">
      <alignment horizontal="center" vertical="center"/>
    </xf>
    <xf numFmtId="14" fontId="53" fillId="19" borderId="26" xfId="1" applyNumberFormat="1" applyFont="1" applyFill="1" applyBorder="1" applyAlignment="1">
      <alignment horizontal="center" vertical="center"/>
    </xf>
    <xf numFmtId="0" fontId="113" fillId="19" borderId="23" xfId="1" applyFont="1" applyFill="1" applyBorder="1" applyAlignment="1">
      <alignment horizontal="center" vertical="center"/>
    </xf>
    <xf numFmtId="0" fontId="115" fillId="19" borderId="24" xfId="1" applyFont="1" applyFill="1" applyBorder="1" applyAlignment="1">
      <alignment horizontal="center"/>
    </xf>
    <xf numFmtId="0" fontId="113" fillId="3" borderId="23" xfId="1" applyFont="1" applyFill="1" applyBorder="1" applyAlignment="1">
      <alignment horizontal="center" vertical="center"/>
    </xf>
    <xf numFmtId="0" fontId="2" fillId="19" borderId="73" xfId="1" applyFont="1" applyFill="1" applyBorder="1" applyAlignment="1">
      <alignment horizontal="center" vertical="center"/>
    </xf>
    <xf numFmtId="14" fontId="53" fillId="19" borderId="73" xfId="1" applyNumberFormat="1" applyFont="1" applyFill="1" applyBorder="1" applyAlignment="1">
      <alignment horizontal="center" vertical="center"/>
    </xf>
    <xf numFmtId="0" fontId="113" fillId="3" borderId="17" xfId="1" applyFont="1" applyFill="1" applyBorder="1" applyAlignment="1">
      <alignment horizontal="center" vertical="center"/>
    </xf>
    <xf numFmtId="0" fontId="116" fillId="19" borderId="2" xfId="1" applyFont="1" applyFill="1" applyBorder="1" applyAlignment="1">
      <alignment horizontal="center"/>
    </xf>
    <xf numFmtId="0" fontId="113" fillId="24" borderId="30" xfId="1" applyFont="1" applyFill="1" applyBorder="1" applyAlignment="1">
      <alignment horizontal="center" vertical="center"/>
    </xf>
    <xf numFmtId="0" fontId="115" fillId="22" borderId="88" xfId="1" applyFont="1" applyFill="1" applyBorder="1" applyAlignment="1">
      <alignment horizontal="center"/>
    </xf>
    <xf numFmtId="0" fontId="108" fillId="22" borderId="73" xfId="1" applyFont="1" applyFill="1" applyBorder="1" applyAlignment="1">
      <alignment horizontal="center" vertical="center"/>
    </xf>
    <xf numFmtId="0" fontId="115" fillId="22" borderId="24" xfId="1" applyFont="1" applyFill="1" applyBorder="1" applyAlignment="1">
      <alignment horizontal="center"/>
    </xf>
    <xf numFmtId="0" fontId="113" fillId="19" borderId="30" xfId="1" applyFont="1" applyFill="1" applyBorder="1" applyAlignment="1">
      <alignment horizontal="center" vertical="center"/>
    </xf>
    <xf numFmtId="0" fontId="115" fillId="19" borderId="2" xfId="1" applyFont="1" applyFill="1" applyBorder="1" applyAlignment="1">
      <alignment horizontal="center"/>
    </xf>
    <xf numFmtId="0" fontId="2" fillId="19" borderId="26" xfId="1" applyFont="1" applyFill="1" applyBorder="1" applyAlignment="1">
      <alignment horizontal="center" vertical="center"/>
    </xf>
    <xf numFmtId="0" fontId="2" fillId="22" borderId="82" xfId="1" applyFont="1" applyFill="1" applyBorder="1" applyAlignment="1">
      <alignment horizontal="center" vertical="center"/>
    </xf>
    <xf numFmtId="14" fontId="53" fillId="22" borderId="82" xfId="1" applyNumberFormat="1" applyFont="1" applyFill="1" applyBorder="1" applyAlignment="1">
      <alignment horizontal="center" vertical="center"/>
    </xf>
    <xf numFmtId="0" fontId="113" fillId="22" borderId="23" xfId="1" applyFont="1" applyFill="1" applyBorder="1" applyAlignment="1">
      <alignment horizontal="center" vertical="center"/>
    </xf>
    <xf numFmtId="14" fontId="53" fillId="22" borderId="82" xfId="1" quotePrefix="1" applyNumberFormat="1" applyFont="1" applyFill="1" applyBorder="1" applyAlignment="1">
      <alignment horizontal="center" vertical="center"/>
    </xf>
    <xf numFmtId="0" fontId="113" fillId="19" borderId="17" xfId="1" applyFont="1" applyFill="1" applyBorder="1" applyAlignment="1">
      <alignment horizontal="center" vertical="center"/>
    </xf>
    <xf numFmtId="0" fontId="115" fillId="19" borderId="88" xfId="1" applyFont="1" applyFill="1" applyBorder="1" applyAlignment="1">
      <alignment horizontal="center"/>
    </xf>
    <xf numFmtId="0" fontId="113" fillId="22" borderId="30" xfId="1" applyFont="1" applyFill="1" applyBorder="1" applyAlignment="1">
      <alignment horizontal="center" vertical="center"/>
    </xf>
    <xf numFmtId="0" fontId="115" fillId="22" borderId="88" xfId="1" applyFont="1" applyFill="1" applyBorder="1" applyAlignment="1">
      <alignment horizontal="center" vertical="center"/>
    </xf>
    <xf numFmtId="0" fontId="2" fillId="22" borderId="26" xfId="1" applyFont="1" applyFill="1" applyBorder="1" applyAlignment="1">
      <alignment horizontal="center" vertical="center"/>
    </xf>
    <xf numFmtId="14" fontId="53" fillId="22" borderId="26" xfId="1" applyNumberFormat="1" applyFont="1" applyFill="1" applyBorder="1" applyAlignment="1">
      <alignment horizontal="center" vertical="center"/>
    </xf>
    <xf numFmtId="0" fontId="115" fillId="22" borderId="24" xfId="1" applyFont="1" applyFill="1" applyBorder="1" applyAlignment="1">
      <alignment horizontal="center" vertical="center"/>
    </xf>
    <xf numFmtId="0" fontId="113" fillId="3" borderId="30" xfId="1" applyFont="1" applyFill="1" applyBorder="1" applyAlignment="1">
      <alignment horizontal="center" vertical="center"/>
    </xf>
    <xf numFmtId="0" fontId="113" fillId="24" borderId="17" xfId="1" applyFont="1" applyFill="1" applyBorder="1" applyAlignment="1">
      <alignment horizontal="center" vertical="center"/>
    </xf>
    <xf numFmtId="14" fontId="53" fillId="22" borderId="26" xfId="1" quotePrefix="1" applyNumberFormat="1" applyFont="1" applyFill="1" applyBorder="1" applyAlignment="1">
      <alignment horizontal="center" vertical="center"/>
    </xf>
    <xf numFmtId="0" fontId="113" fillId="26" borderId="30" xfId="1" applyFont="1" applyFill="1" applyBorder="1" applyAlignment="1">
      <alignment horizontal="center" vertical="center"/>
    </xf>
    <xf numFmtId="0" fontId="2" fillId="19" borderId="61" xfId="1" applyFont="1" applyFill="1" applyBorder="1" applyAlignment="1">
      <alignment horizontal="center" vertical="center"/>
    </xf>
    <xf numFmtId="14" fontId="53" fillId="19" borderId="61" xfId="1" applyNumberFormat="1" applyFont="1" applyFill="1" applyBorder="1" applyAlignment="1">
      <alignment horizontal="center" vertical="center"/>
    </xf>
    <xf numFmtId="0" fontId="113" fillId="23" borderId="17" xfId="1" applyFont="1" applyFill="1" applyBorder="1" applyAlignment="1">
      <alignment horizontal="center" vertical="center"/>
    </xf>
    <xf numFmtId="0" fontId="113" fillId="24" borderId="23" xfId="1" applyFont="1" applyFill="1" applyBorder="1" applyAlignment="1">
      <alignment horizontal="center" vertical="center"/>
    </xf>
    <xf numFmtId="0" fontId="116" fillId="22" borderId="24" xfId="1" applyFont="1" applyFill="1" applyBorder="1" applyAlignment="1">
      <alignment horizontal="center"/>
    </xf>
    <xf numFmtId="14" fontId="53" fillId="19" borderId="73" xfId="1" quotePrefix="1" applyNumberFormat="1" applyFont="1" applyFill="1" applyBorder="1" applyAlignment="1">
      <alignment horizontal="center" vertical="center"/>
    </xf>
    <xf numFmtId="0" fontId="115" fillId="22" borderId="111" xfId="1" applyFont="1" applyFill="1" applyBorder="1" applyAlignment="1">
      <alignment horizontal="center" vertical="center"/>
    </xf>
    <xf numFmtId="14" fontId="53" fillId="21" borderId="73" xfId="1" applyNumberFormat="1" applyFont="1" applyFill="1" applyBorder="1" applyAlignment="1">
      <alignment horizontal="center" vertical="center"/>
    </xf>
    <xf numFmtId="0" fontId="111" fillId="28" borderId="17" xfId="1" applyFont="1" applyFill="1" applyBorder="1" applyAlignment="1">
      <alignment horizontal="center" vertical="center"/>
    </xf>
    <xf numFmtId="0" fontId="2" fillId="28" borderId="73" xfId="1" applyFont="1" applyFill="1" applyBorder="1" applyAlignment="1">
      <alignment horizontal="center" vertical="center"/>
    </xf>
    <xf numFmtId="14" fontId="53" fillId="28" borderId="73" xfId="1" applyNumberFormat="1" applyFont="1" applyFill="1" applyBorder="1" applyAlignment="1">
      <alignment horizontal="center" vertical="center"/>
    </xf>
    <xf numFmtId="0" fontId="2" fillId="29" borderId="73" xfId="1" applyFont="1" applyFill="1" applyBorder="1" applyAlignment="1">
      <alignment horizontal="center" vertical="center"/>
    </xf>
    <xf numFmtId="14" fontId="2" fillId="29" borderId="73" xfId="1" applyNumberFormat="1" applyFont="1" applyFill="1" applyBorder="1" applyAlignment="1">
      <alignment horizontal="center" vertical="center"/>
    </xf>
    <xf numFmtId="0" fontId="111" fillId="29" borderId="17" xfId="1" applyFont="1" applyFill="1" applyBorder="1" applyAlignment="1">
      <alignment horizontal="center" vertical="center"/>
    </xf>
    <xf numFmtId="0" fontId="2" fillId="27" borderId="73" xfId="1" applyFont="1" applyFill="1" applyBorder="1" applyAlignment="1">
      <alignment horizontal="center" vertical="center"/>
    </xf>
    <xf numFmtId="14" fontId="53" fillId="27" borderId="73" xfId="1" applyNumberFormat="1" applyFont="1" applyFill="1" applyBorder="1" applyAlignment="1">
      <alignment horizontal="center" vertical="center"/>
    </xf>
    <xf numFmtId="0" fontId="111" fillId="27" borderId="17" xfId="1" applyFont="1" applyFill="1" applyBorder="1" applyAlignment="1">
      <alignment horizontal="center" vertical="center"/>
    </xf>
    <xf numFmtId="14" fontId="53" fillId="27" borderId="73" xfId="1" quotePrefix="1" applyNumberFormat="1" applyFont="1" applyFill="1" applyBorder="1" applyAlignment="1">
      <alignment horizontal="center" vertical="center"/>
    </xf>
    <xf numFmtId="14" fontId="2" fillId="28" borderId="73" xfId="1" applyNumberFormat="1" applyFont="1" applyFill="1" applyBorder="1" applyAlignment="1">
      <alignment horizontal="center" vertical="center"/>
    </xf>
    <xf numFmtId="0" fontId="111" fillId="28" borderId="73" xfId="1" applyFont="1" applyFill="1" applyBorder="1" applyAlignment="1">
      <alignment horizontal="center" vertical="center"/>
    </xf>
    <xf numFmtId="166" fontId="2" fillId="29" borderId="73" xfId="1" applyNumberFormat="1" applyFont="1" applyFill="1" applyBorder="1" applyAlignment="1">
      <alignment horizontal="center" vertical="center"/>
    </xf>
    <xf numFmtId="0" fontId="115" fillId="29" borderId="36" xfId="1" applyFont="1" applyFill="1" applyBorder="1" applyAlignment="1">
      <alignment horizontal="center"/>
    </xf>
    <xf numFmtId="14" fontId="2" fillId="29" borderId="37" xfId="1" applyNumberFormat="1" applyFont="1" applyFill="1" applyBorder="1" applyAlignment="1">
      <alignment horizontal="center" vertical="center"/>
    </xf>
    <xf numFmtId="0" fontId="113" fillId="0" borderId="73" xfId="1" applyFont="1" applyFill="1" applyBorder="1" applyAlignment="1">
      <alignment horizontal="center" vertical="center"/>
    </xf>
    <xf numFmtId="0" fontId="113" fillId="14" borderId="30" xfId="1" applyFont="1" applyFill="1" applyBorder="1" applyAlignment="1">
      <alignment horizontal="center" vertical="center"/>
    </xf>
    <xf numFmtId="0" fontId="26" fillId="0" borderId="125" xfId="1" applyFont="1" applyFill="1" applyBorder="1" applyAlignment="1">
      <alignment horizontal="center" vertical="center"/>
    </xf>
    <xf numFmtId="3" fontId="18" fillId="0" borderId="145" xfId="1" applyNumberFormat="1" applyFont="1" applyFill="1" applyBorder="1" applyAlignment="1">
      <alignment horizontal="center" vertical="center"/>
    </xf>
    <xf numFmtId="0" fontId="113" fillId="0" borderId="0" xfId="1" applyFont="1" applyFill="1" applyBorder="1" applyAlignment="1">
      <alignment horizontal="left" vertical="center"/>
    </xf>
    <xf numFmtId="3" fontId="15" fillId="0" borderId="0" xfId="1" applyNumberFormat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horizontal="left" vertical="center"/>
    </xf>
    <xf numFmtId="0" fontId="2" fillId="0" borderId="0" xfId="1" applyFill="1" applyBorder="1" applyAlignment="1"/>
    <xf numFmtId="3" fontId="3" fillId="0" borderId="0" xfId="1" applyNumberFormat="1" applyFont="1" applyFill="1" applyBorder="1" applyAlignment="1">
      <alignment horizontal="left" vertical="center"/>
    </xf>
    <xf numFmtId="3" fontId="7" fillId="0" borderId="0" xfId="1" applyNumberFormat="1" applyFont="1" applyFill="1" applyBorder="1" applyAlignment="1">
      <alignment horizontal="left" vertical="center"/>
    </xf>
    <xf numFmtId="3" fontId="57" fillId="0" borderId="0" xfId="1" applyNumberFormat="1" applyFont="1" applyFill="1" applyBorder="1" applyAlignment="1">
      <alignment horizontal="center" vertical="center" wrapText="1"/>
    </xf>
    <xf numFmtId="3" fontId="55" fillId="0" borderId="0" xfId="1" applyNumberFormat="1" applyFont="1" applyFill="1" applyBorder="1" applyAlignment="1">
      <alignment horizontal="center" vertical="center"/>
    </xf>
    <xf numFmtId="0" fontId="113" fillId="0" borderId="0" xfId="1" applyFont="1" applyFill="1" applyBorder="1" applyAlignment="1">
      <alignment horizontal="center" vertical="center"/>
    </xf>
    <xf numFmtId="0" fontId="65" fillId="0" borderId="0" xfId="1" applyFont="1" applyFill="1" applyBorder="1" applyAlignment="1">
      <alignment horizontal="left" vertical="center"/>
    </xf>
    <xf numFmtId="0" fontId="60" fillId="0" borderId="0" xfId="1" applyFont="1" applyFill="1" applyBorder="1" applyAlignment="1">
      <alignment horizontal="left" vertical="center"/>
    </xf>
    <xf numFmtId="169" fontId="61" fillId="0" borderId="0" xfId="1" applyNumberFormat="1" applyFont="1" applyFill="1" applyBorder="1" applyAlignment="1">
      <alignment horizontal="right" vertical="center"/>
    </xf>
    <xf numFmtId="3" fontId="65" fillId="0" borderId="0" xfId="1" applyNumberFormat="1" applyFont="1" applyFill="1" applyBorder="1" applyAlignment="1">
      <alignment horizontal="center" vertical="center"/>
    </xf>
    <xf numFmtId="0" fontId="118" fillId="0" borderId="0" xfId="1" applyFont="1" applyFill="1" applyBorder="1" applyAlignment="1">
      <alignment horizontal="center" vertical="center"/>
    </xf>
    <xf numFmtId="0" fontId="65" fillId="0" borderId="0" xfId="1" applyFont="1" applyFill="1" applyBorder="1" applyAlignment="1">
      <alignment vertical="center"/>
    </xf>
    <xf numFmtId="0" fontId="119" fillId="0" borderId="0" xfId="1" applyFont="1" applyFill="1" applyBorder="1" applyAlignment="1">
      <alignment horizontal="center"/>
    </xf>
    <xf numFmtId="0" fontId="60" fillId="0" borderId="0" xfId="1" applyFont="1" applyFill="1" applyBorder="1" applyAlignment="1">
      <alignment vertical="center"/>
    </xf>
    <xf numFmtId="3" fontId="18" fillId="0" borderId="139" xfId="1" applyNumberFormat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0" fontId="54" fillId="0" borderId="0" xfId="1" applyFont="1" applyFill="1" applyBorder="1" applyAlignment="1">
      <alignment vertical="center"/>
    </xf>
    <xf numFmtId="166" fontId="57" fillId="0" borderId="0" xfId="1" applyNumberFormat="1" applyFont="1" applyFill="1" applyBorder="1" applyAlignment="1">
      <alignment horizontal="center" vertical="center"/>
    </xf>
    <xf numFmtId="0" fontId="121" fillId="0" borderId="0" xfId="1" applyFont="1" applyFill="1" applyBorder="1" applyAlignment="1">
      <alignment horizontal="center" vertical="center"/>
    </xf>
    <xf numFmtId="0" fontId="66" fillId="0" borderId="0" xfId="1" applyFont="1" applyFill="1" applyBorder="1" applyAlignment="1">
      <alignment horizontal="center"/>
    </xf>
    <xf numFmtId="0" fontId="55" fillId="0" borderId="0" xfId="1" applyFont="1" applyFill="1" applyBorder="1" applyAlignment="1">
      <alignment horizontal="left" vertical="center"/>
    </xf>
    <xf numFmtId="3" fontId="3" fillId="0" borderId="0" xfId="1" applyNumberFormat="1" applyFont="1" applyFill="1" applyBorder="1" applyAlignment="1">
      <alignment horizontal="center" vertical="center"/>
    </xf>
    <xf numFmtId="3" fontId="64" fillId="0" borderId="145" xfId="1" applyNumberFormat="1" applyFont="1" applyFill="1" applyBorder="1" applyAlignment="1">
      <alignment horizontal="center" vertical="center"/>
    </xf>
    <xf numFmtId="3" fontId="122" fillId="0" borderId="0" xfId="1" applyNumberFormat="1" applyFont="1" applyFill="1" applyBorder="1" applyAlignment="1">
      <alignment horizontal="center" vertical="center"/>
    </xf>
    <xf numFmtId="166" fontId="123" fillId="0" borderId="0" xfId="1" applyNumberFormat="1" applyFont="1" applyFill="1" applyBorder="1" applyAlignment="1">
      <alignment horizontal="center" vertical="center"/>
    </xf>
    <xf numFmtId="0" fontId="64" fillId="0" borderId="0" xfId="1" applyFont="1" applyFill="1" applyBorder="1" applyAlignment="1">
      <alignment horizontal="left" vertical="center"/>
    </xf>
    <xf numFmtId="0" fontId="63" fillId="0" borderId="0" xfId="17" applyFont="1" applyFill="1" applyBorder="1"/>
    <xf numFmtId="3" fontId="18" fillId="0" borderId="140" xfId="1" applyNumberFormat="1" applyFont="1" applyFill="1" applyBorder="1" applyAlignment="1">
      <alignment horizontal="center" vertical="center"/>
    </xf>
    <xf numFmtId="0" fontId="23" fillId="0" borderId="73" xfId="15" applyFill="1" applyBorder="1" applyAlignment="1">
      <alignment horizontal="center" vertical="center"/>
    </xf>
    <xf numFmtId="0" fontId="91" fillId="0" borderId="143" xfId="1" applyFont="1" applyFill="1" applyBorder="1" applyAlignment="1">
      <alignment horizontal="right" vertical="center"/>
    </xf>
    <xf numFmtId="0" fontId="91" fillId="0" borderId="0" xfId="1" applyFont="1" applyFill="1" applyBorder="1" applyAlignment="1">
      <alignment horizontal="right" vertical="center"/>
    </xf>
    <xf numFmtId="0" fontId="0" fillId="0" borderId="149" xfId="0" applyBorder="1"/>
    <xf numFmtId="0" fontId="23" fillId="0" borderId="73" xfId="15" quotePrefix="1" applyFill="1" applyBorder="1" applyAlignment="1">
      <alignment horizontal="center" vertical="center"/>
    </xf>
    <xf numFmtId="0" fontId="2" fillId="0" borderId="148" xfId="15" quotePrefix="1" applyFont="1" applyFill="1" applyBorder="1" applyAlignment="1">
      <alignment horizontal="center" vertical="center"/>
    </xf>
    <xf numFmtId="0" fontId="50" fillId="0" borderId="138" xfId="1" applyFont="1" applyFill="1" applyBorder="1" applyAlignment="1">
      <alignment horizontal="left" vertical="center"/>
    </xf>
    <xf numFmtId="0" fontId="74" fillId="0" borderId="138" xfId="1" applyFont="1" applyFill="1" applyBorder="1" applyAlignment="1">
      <alignment horizontal="left" vertical="center"/>
    </xf>
    <xf numFmtId="0" fontId="91" fillId="0" borderId="152" xfId="1" applyFont="1" applyFill="1" applyBorder="1" applyAlignment="1">
      <alignment horizontal="right" vertical="center"/>
    </xf>
    <xf numFmtId="0" fontId="91" fillId="0" borderId="153" xfId="1" applyFont="1" applyFill="1" applyBorder="1" applyAlignment="1">
      <alignment horizontal="right" vertical="center"/>
    </xf>
    <xf numFmtId="0" fontId="18" fillId="0" borderId="154" xfId="1" applyFont="1" applyFill="1" applyBorder="1" applyAlignment="1">
      <alignment horizontal="left" vertical="center"/>
    </xf>
    <xf numFmtId="0" fontId="125" fillId="0" borderId="138" xfId="1" applyFont="1" applyFill="1" applyBorder="1" applyAlignment="1">
      <alignment horizontal="left" vertical="center"/>
    </xf>
    <xf numFmtId="0" fontId="126" fillId="0" borderId="0" xfId="1" applyFont="1" applyFill="1" applyBorder="1" applyAlignment="1">
      <alignment horizontal="left" vertical="center"/>
    </xf>
    <xf numFmtId="0" fontId="23" fillId="0" borderId="138" xfId="15" applyFill="1" applyBorder="1" applyAlignment="1">
      <alignment horizontal="left" vertical="center"/>
    </xf>
    <xf numFmtId="0" fontId="127" fillId="0" borderId="138" xfId="15" applyFont="1" applyFill="1" applyBorder="1" applyAlignment="1">
      <alignment horizontal="left" vertical="center"/>
    </xf>
    <xf numFmtId="0" fontId="23" fillId="0" borderId="138" xfId="15" applyFill="1" applyBorder="1" applyAlignment="1">
      <alignment vertical="center"/>
    </xf>
    <xf numFmtId="3" fontId="120" fillId="0" borderId="144" xfId="1" applyNumberFormat="1" applyFont="1" applyFill="1" applyBorder="1" applyAlignment="1">
      <alignment horizontal="center" vertical="center"/>
    </xf>
    <xf numFmtId="3" fontId="120" fillId="0" borderId="110" xfId="1" applyNumberFormat="1" applyFont="1" applyFill="1" applyBorder="1" applyAlignment="1">
      <alignment horizontal="center" vertical="center"/>
    </xf>
    <xf numFmtId="3" fontId="64" fillId="0" borderId="146" xfId="1" applyNumberFormat="1" applyFont="1" applyFill="1" applyBorder="1" applyAlignment="1">
      <alignment horizontal="center" vertical="center"/>
    </xf>
    <xf numFmtId="3" fontId="18" fillId="0" borderId="110" xfId="1" applyNumberFormat="1" applyFont="1" applyFill="1" applyBorder="1" applyAlignment="1">
      <alignment horizontal="center" vertical="center"/>
    </xf>
    <xf numFmtId="3" fontId="18" fillId="0" borderId="146" xfId="1" applyNumberFormat="1" applyFont="1" applyFill="1" applyBorder="1" applyAlignment="1">
      <alignment horizontal="center" vertical="center"/>
    </xf>
    <xf numFmtId="3" fontId="18" fillId="0" borderId="144" xfId="1" applyNumberFormat="1" applyFont="1" applyFill="1" applyBorder="1" applyAlignment="1">
      <alignment horizontal="center" vertical="center"/>
    </xf>
    <xf numFmtId="0" fontId="23" fillId="0" borderId="101" xfId="15" applyFill="1" applyBorder="1" applyAlignment="1">
      <alignment horizontal="left" vertical="center"/>
    </xf>
    <xf numFmtId="0" fontId="52" fillId="0" borderId="119" xfId="1" applyFont="1" applyFill="1" applyBorder="1" applyAlignment="1">
      <alignment horizontal="left" vertical="center"/>
    </xf>
    <xf numFmtId="3" fontId="18" fillId="0" borderId="147" xfId="1" applyNumberFormat="1" applyFont="1" applyFill="1" applyBorder="1" applyAlignment="1">
      <alignment horizontal="center" vertical="center"/>
    </xf>
    <xf numFmtId="3" fontId="17" fillId="0" borderId="150" xfId="1" applyNumberFormat="1" applyFont="1" applyFill="1" applyBorder="1" applyAlignment="1">
      <alignment horizontal="left" vertical="center"/>
    </xf>
    <xf numFmtId="3" fontId="45" fillId="0" borderId="148" xfId="1" applyNumberFormat="1" applyFont="1" applyFill="1" applyBorder="1" applyAlignment="1">
      <alignment horizontal="center" vertical="center"/>
    </xf>
    <xf numFmtId="3" fontId="16" fillId="0" borderId="0" xfId="1" applyNumberFormat="1" applyFont="1" applyFill="1" applyBorder="1" applyAlignment="1">
      <alignment horizontal="left" vertical="center"/>
    </xf>
    <xf numFmtId="3" fontId="18" fillId="0" borderId="119" xfId="1" applyNumberFormat="1" applyFont="1" applyFill="1" applyBorder="1" applyAlignment="1">
      <alignment horizontal="center" vertical="center"/>
    </xf>
    <xf numFmtId="3" fontId="18" fillId="0" borderId="151" xfId="1" applyNumberFormat="1" applyFont="1" applyFill="1" applyBorder="1" applyAlignment="1">
      <alignment horizontal="center" vertical="center"/>
    </xf>
    <xf numFmtId="0" fontId="109" fillId="0" borderId="138" xfId="15" applyFont="1" applyFill="1" applyBorder="1" applyAlignment="1">
      <alignment horizontal="left" vertical="center"/>
    </xf>
    <xf numFmtId="0" fontId="23" fillId="0" borderId="101" xfId="15" applyFill="1" applyBorder="1" applyAlignment="1">
      <alignment vertical="center"/>
    </xf>
    <xf numFmtId="3" fontId="18" fillId="0" borderId="61" xfId="1" applyNumberFormat="1" applyFont="1" applyFill="1" applyBorder="1" applyAlignment="1">
      <alignment horizontal="center" vertical="center"/>
    </xf>
    <xf numFmtId="3" fontId="128" fillId="0" borderId="145" xfId="1" applyNumberFormat="1" applyFont="1" applyFill="1" applyBorder="1" applyAlignment="1">
      <alignment horizontal="center" vertical="center"/>
    </xf>
    <xf numFmtId="0" fontId="50" fillId="28" borderId="138" xfId="1" applyFont="1" applyFill="1" applyBorder="1" applyAlignment="1">
      <alignment horizontal="left" vertical="center"/>
    </xf>
    <xf numFmtId="3" fontId="18" fillId="0" borderId="159" xfId="1" applyNumberFormat="1" applyFont="1" applyFill="1" applyBorder="1" applyAlignment="1">
      <alignment horizontal="center" vertical="center"/>
    </xf>
    <xf numFmtId="0" fontId="23" fillId="0" borderId="164" xfId="15" applyFill="1" applyBorder="1" applyAlignment="1">
      <alignment horizontal="left" vertical="center"/>
    </xf>
    <xf numFmtId="0" fontId="2" fillId="0" borderId="148" xfId="15" applyFont="1" applyFill="1" applyBorder="1" applyAlignment="1">
      <alignment horizontal="center" vertical="center"/>
    </xf>
    <xf numFmtId="0" fontId="117" fillId="0" borderId="73" xfId="1" applyFont="1" applyFill="1" applyBorder="1" applyAlignment="1">
      <alignment horizontal="center" vertical="center"/>
    </xf>
    <xf numFmtId="0" fontId="26" fillId="0" borderId="166" xfId="1" applyFont="1" applyFill="1" applyBorder="1" applyAlignment="1">
      <alignment horizontal="center" vertical="center"/>
    </xf>
    <xf numFmtId="3" fontId="64" fillId="0" borderId="159" xfId="1" applyNumberFormat="1" applyFont="1" applyFill="1" applyBorder="1" applyAlignment="1">
      <alignment horizontal="center" vertical="center"/>
    </xf>
    <xf numFmtId="3" fontId="18" fillId="0" borderId="161" xfId="1" applyNumberFormat="1" applyFont="1" applyFill="1" applyBorder="1" applyAlignment="1">
      <alignment horizontal="center" vertical="center"/>
    </xf>
    <xf numFmtId="3" fontId="18" fillId="0" borderId="162" xfId="1" applyNumberFormat="1" applyFont="1" applyFill="1" applyBorder="1" applyAlignment="1">
      <alignment horizontal="center" vertical="center"/>
    </xf>
    <xf numFmtId="3" fontId="18" fillId="0" borderId="160" xfId="1" applyNumberFormat="1" applyFont="1" applyFill="1" applyBorder="1" applyAlignment="1">
      <alignment horizontal="center" vertical="center"/>
    </xf>
    <xf numFmtId="3" fontId="129" fillId="0" borderId="156" xfId="1" applyNumberFormat="1" applyFont="1" applyFill="1" applyBorder="1" applyAlignment="1">
      <alignment horizontal="center" vertical="center"/>
    </xf>
    <xf numFmtId="0" fontId="124" fillId="0" borderId="0" xfId="1" applyFont="1" applyFill="1" applyBorder="1" applyAlignment="1">
      <alignment horizontal="center"/>
    </xf>
    <xf numFmtId="0" fontId="2" fillId="0" borderId="0" xfId="17" quotePrefix="1" applyFont="1" applyFill="1" applyBorder="1" applyAlignment="1">
      <alignment horizontal="center" vertical="center"/>
    </xf>
    <xf numFmtId="0" fontId="2" fillId="0" borderId="0" xfId="17" quotePrefix="1" applyFont="1" applyFill="1" applyBorder="1" applyAlignment="1">
      <alignment horizontal="center" vertical="center" wrapText="1"/>
    </xf>
    <xf numFmtId="3" fontId="64" fillId="0" borderId="160" xfId="1" applyNumberFormat="1" applyFont="1" applyFill="1" applyBorder="1" applyAlignment="1">
      <alignment horizontal="center" vertical="center"/>
    </xf>
    <xf numFmtId="0" fontId="130" fillId="0" borderId="73" xfId="1" applyFont="1" applyFill="1" applyBorder="1" applyAlignment="1">
      <alignment horizontal="center" vertical="center" wrapText="1"/>
    </xf>
    <xf numFmtId="0" fontId="110" fillId="0" borderId="73" xfId="17" quotePrefix="1" applyFont="1" applyFill="1" applyBorder="1" applyAlignment="1">
      <alignment horizontal="center" vertical="center" wrapText="1"/>
    </xf>
    <xf numFmtId="0" fontId="64" fillId="0" borderId="166" xfId="1" applyFont="1" applyFill="1" applyBorder="1" applyAlignment="1">
      <alignment horizontal="left" vertical="center"/>
    </xf>
    <xf numFmtId="0" fontId="18" fillId="0" borderId="166" xfId="1" applyFont="1" applyFill="1" applyBorder="1" applyAlignment="1">
      <alignment horizontal="left" vertical="center"/>
    </xf>
    <xf numFmtId="3" fontId="64" fillId="0" borderId="163" xfId="1" applyNumberFormat="1" applyFont="1" applyFill="1" applyBorder="1" applyAlignment="1">
      <alignment horizontal="center" vertical="center"/>
    </xf>
    <xf numFmtId="0" fontId="64" fillId="0" borderId="166" xfId="1" applyFont="1" applyFill="1" applyBorder="1" applyAlignment="1">
      <alignment horizontal="center"/>
    </xf>
    <xf numFmtId="0" fontId="2" fillId="0" borderId="119" xfId="1" applyFill="1" applyBorder="1"/>
    <xf numFmtId="3" fontId="18" fillId="0" borderId="168" xfId="1" applyNumberFormat="1" applyFont="1" applyFill="1" applyBorder="1" applyAlignment="1">
      <alignment horizontal="center" vertical="center"/>
    </xf>
    <xf numFmtId="3" fontId="18" fillId="0" borderId="167" xfId="1" applyNumberFormat="1" applyFont="1" applyFill="1" applyBorder="1" applyAlignment="1">
      <alignment horizontal="center" vertical="center"/>
    </xf>
    <xf numFmtId="0" fontId="23" fillId="0" borderId="55" xfId="15" applyFill="1" applyBorder="1" applyAlignment="1">
      <alignment horizontal="left" vertical="center"/>
    </xf>
    <xf numFmtId="3" fontId="18" fillId="0" borderId="8" xfId="1" applyNumberFormat="1" applyFont="1" applyFill="1" applyBorder="1" applyAlignment="1">
      <alignment horizontal="center" vertical="center"/>
    </xf>
    <xf numFmtId="3" fontId="18" fillId="0" borderId="169" xfId="1" applyNumberFormat="1" applyFont="1" applyFill="1" applyBorder="1" applyAlignment="1">
      <alignment horizontal="center" vertical="center"/>
    </xf>
    <xf numFmtId="3" fontId="18" fillId="0" borderId="148" xfId="1" applyNumberFormat="1" applyFont="1" applyFill="1" applyBorder="1" applyAlignment="1">
      <alignment horizontal="center" vertical="center"/>
    </xf>
    <xf numFmtId="3" fontId="18" fillId="0" borderId="171" xfId="1" applyNumberFormat="1" applyFont="1" applyFill="1" applyBorder="1" applyAlignment="1">
      <alignment horizontal="center" vertical="center"/>
    </xf>
    <xf numFmtId="3" fontId="18" fillId="0" borderId="170" xfId="1" applyNumberFormat="1" applyFont="1" applyFill="1" applyBorder="1" applyAlignment="1">
      <alignment horizontal="center" vertical="center"/>
    </xf>
    <xf numFmtId="3" fontId="45" fillId="0" borderId="114" xfId="1" applyNumberFormat="1" applyFont="1" applyFill="1" applyBorder="1" applyAlignment="1">
      <alignment horizontal="center" vertical="center"/>
    </xf>
    <xf numFmtId="3" fontId="17" fillId="0" borderId="114" xfId="1" applyNumberFormat="1" applyFont="1" applyFill="1" applyBorder="1" applyAlignment="1">
      <alignment horizontal="center" vertical="center" wrapText="1"/>
    </xf>
    <xf numFmtId="3" fontId="131" fillId="0" borderId="173" xfId="17" applyNumberFormat="1" applyFont="1" applyFill="1" applyBorder="1" applyAlignment="1">
      <alignment horizontal="center" vertical="center"/>
    </xf>
    <xf numFmtId="0" fontId="2" fillId="0" borderId="114" xfId="15" applyFont="1" applyFill="1" applyBorder="1" applyAlignment="1">
      <alignment horizontal="center" vertical="center"/>
    </xf>
    <xf numFmtId="0" fontId="117" fillId="0" borderId="114" xfId="1" applyFont="1" applyFill="1" applyBorder="1" applyAlignment="1">
      <alignment horizontal="center" vertical="center"/>
    </xf>
    <xf numFmtId="173" fontId="132" fillId="0" borderId="0" xfId="1" applyNumberFormat="1" applyFont="1" applyAlignment="1">
      <alignment horizontal="center" vertical="center"/>
    </xf>
    <xf numFmtId="0" fontId="91" fillId="0" borderId="157" xfId="1" applyFont="1" applyFill="1" applyBorder="1" applyAlignment="1">
      <alignment horizontal="right" vertical="center"/>
    </xf>
    <xf numFmtId="0" fontId="133" fillId="0" borderId="142" xfId="1" applyFont="1" applyFill="1" applyBorder="1" applyAlignment="1">
      <alignment horizontal="center" vertical="center"/>
    </xf>
    <xf numFmtId="173" fontId="132" fillId="0" borderId="0" xfId="1" applyNumberFormat="1" applyFont="1" applyBorder="1" applyAlignment="1">
      <alignment horizontal="center" vertical="center"/>
    </xf>
    <xf numFmtId="165" fontId="6" fillId="0" borderId="0" xfId="1" applyNumberFormat="1" applyFont="1" applyFill="1" applyAlignment="1">
      <alignment horizontal="left" vertical="top"/>
    </xf>
    <xf numFmtId="0" fontId="91" fillId="0" borderId="113" xfId="1" applyFont="1" applyFill="1" applyBorder="1" applyAlignment="1">
      <alignment horizontal="right" vertical="center"/>
    </xf>
    <xf numFmtId="3" fontId="18" fillId="0" borderId="182" xfId="1" applyNumberFormat="1" applyFont="1" applyFill="1" applyBorder="1" applyAlignment="1">
      <alignment horizontal="center" vertical="center"/>
    </xf>
    <xf numFmtId="3" fontId="64" fillId="0" borderId="110" xfId="1" applyNumberFormat="1" applyFont="1" applyFill="1" applyBorder="1" applyAlignment="1">
      <alignment horizontal="center" vertical="center"/>
    </xf>
    <xf numFmtId="3" fontId="64" fillId="0" borderId="182" xfId="1" applyNumberFormat="1" applyFont="1" applyFill="1" applyBorder="1" applyAlignment="1">
      <alignment horizontal="center" vertical="center"/>
    </xf>
    <xf numFmtId="0" fontId="64" fillId="0" borderId="53" xfId="1" applyFont="1" applyFill="1" applyBorder="1" applyAlignment="1">
      <alignment horizontal="left" vertical="center"/>
    </xf>
    <xf numFmtId="0" fontId="64" fillId="0" borderId="184" xfId="1" applyFont="1" applyFill="1" applyBorder="1" applyAlignment="1">
      <alignment horizontal="center"/>
    </xf>
    <xf numFmtId="0" fontId="26" fillId="0" borderId="166" xfId="1" applyFont="1" applyFill="1" applyBorder="1" applyAlignment="1">
      <alignment horizontal="center"/>
    </xf>
    <xf numFmtId="0" fontId="64" fillId="0" borderId="166" xfId="1" applyFont="1" applyFill="1" applyBorder="1" applyAlignment="1">
      <alignment vertical="center"/>
    </xf>
    <xf numFmtId="0" fontId="64" fillId="0" borderId="184" xfId="1" applyFont="1" applyFill="1" applyBorder="1" applyAlignment="1">
      <alignment horizontal="left" vertical="center"/>
    </xf>
    <xf numFmtId="0" fontId="26" fillId="0" borderId="184" xfId="1" applyFont="1" applyFill="1" applyBorder="1" applyAlignment="1">
      <alignment horizontal="center"/>
    </xf>
    <xf numFmtId="0" fontId="26" fillId="0" borderId="184" xfId="1" applyFont="1" applyFill="1" applyBorder="1" applyAlignment="1">
      <alignment horizontal="center" vertical="center"/>
    </xf>
    <xf numFmtId="3" fontId="18" fillId="0" borderId="181" xfId="1" applyNumberFormat="1" applyFont="1" applyFill="1" applyBorder="1" applyAlignment="1">
      <alignment horizontal="center" vertical="center"/>
    </xf>
    <xf numFmtId="3" fontId="18" fillId="0" borderId="184" xfId="1" applyNumberFormat="1" applyFont="1" applyFill="1" applyBorder="1" applyAlignment="1">
      <alignment horizontal="center" vertical="center"/>
    </xf>
    <xf numFmtId="3" fontId="18" fillId="0" borderId="185" xfId="1" applyNumberFormat="1" applyFont="1" applyFill="1" applyBorder="1" applyAlignment="1">
      <alignment horizontal="center" vertical="center"/>
    </xf>
    <xf numFmtId="3" fontId="64" fillId="0" borderId="185" xfId="1" applyNumberFormat="1" applyFont="1" applyFill="1" applyBorder="1" applyAlignment="1">
      <alignment horizontal="center" vertical="center"/>
    </xf>
    <xf numFmtId="3" fontId="64" fillId="0" borderId="184" xfId="1" applyNumberFormat="1" applyFont="1" applyFill="1" applyBorder="1" applyAlignment="1">
      <alignment horizontal="center" vertical="center"/>
    </xf>
    <xf numFmtId="3" fontId="64" fillId="0" borderId="181" xfId="1" applyNumberFormat="1" applyFont="1" applyFill="1" applyBorder="1" applyAlignment="1">
      <alignment horizontal="center" vertical="center"/>
    </xf>
    <xf numFmtId="173" fontId="132" fillId="0" borderId="183" xfId="1" applyNumberFormat="1" applyFont="1" applyBorder="1" applyAlignment="1">
      <alignment horizontal="center" vertical="center"/>
    </xf>
    <xf numFmtId="0" fontId="23" fillId="0" borderId="172" xfId="15" applyFill="1" applyBorder="1" applyAlignment="1">
      <alignment horizontal="left" vertical="center"/>
    </xf>
    <xf numFmtId="0" fontId="50" fillId="0" borderId="172" xfId="1" applyFont="1" applyFill="1" applyBorder="1" applyAlignment="1">
      <alignment horizontal="left" vertical="center"/>
    </xf>
    <xf numFmtId="3" fontId="18" fillId="0" borderId="174" xfId="1" applyNumberFormat="1" applyFont="1" applyFill="1" applyBorder="1" applyAlignment="1">
      <alignment horizontal="center" vertical="center"/>
    </xf>
    <xf numFmtId="3" fontId="64" fillId="0" borderId="174" xfId="1" applyNumberFormat="1" applyFont="1" applyFill="1" applyBorder="1" applyAlignment="1">
      <alignment horizontal="center" vertical="center"/>
    </xf>
    <xf numFmtId="0" fontId="18" fillId="0" borderId="184" xfId="1" applyFont="1" applyFill="1" applyBorder="1" applyAlignment="1">
      <alignment horizontal="left" vertical="center"/>
    </xf>
    <xf numFmtId="0" fontId="64" fillId="0" borderId="184" xfId="1" applyFont="1" applyFill="1" applyBorder="1" applyAlignment="1">
      <alignment vertical="center"/>
    </xf>
    <xf numFmtId="3" fontId="18" fillId="0" borderId="177" xfId="1" applyNumberFormat="1" applyFont="1" applyFill="1" applyBorder="1" applyAlignment="1">
      <alignment horizontal="center" vertical="center"/>
    </xf>
    <xf numFmtId="3" fontId="18" fillId="0" borderId="178" xfId="1" applyNumberFormat="1" applyFont="1" applyFill="1" applyBorder="1" applyAlignment="1">
      <alignment horizontal="center" vertical="center"/>
    </xf>
    <xf numFmtId="0" fontId="64" fillId="0" borderId="8" xfId="1" applyFont="1" applyFill="1" applyBorder="1" applyAlignment="1">
      <alignment horizontal="left" vertical="center"/>
    </xf>
    <xf numFmtId="0" fontId="64" fillId="28" borderId="166" xfId="1" applyFont="1" applyFill="1" applyBorder="1" applyAlignment="1">
      <alignment horizontal="center"/>
    </xf>
    <xf numFmtId="0" fontId="64" fillId="0" borderId="155" xfId="1" applyFont="1" applyFill="1" applyBorder="1" applyAlignment="1">
      <alignment horizontal="left" vertical="center"/>
    </xf>
    <xf numFmtId="0" fontId="64" fillId="28" borderId="184" xfId="1" applyFont="1" applyFill="1" applyBorder="1" applyAlignment="1">
      <alignment horizontal="left" vertical="center"/>
    </xf>
    <xf numFmtId="0" fontId="132" fillId="0" borderId="183" xfId="1" applyFont="1" applyBorder="1"/>
    <xf numFmtId="173" fontId="132" fillId="0" borderId="169" xfId="1" applyNumberFormat="1" applyFont="1" applyBorder="1" applyAlignment="1">
      <alignment horizontal="center" vertical="center"/>
    </xf>
    <xf numFmtId="3" fontId="17" fillId="0" borderId="188" xfId="1" applyNumberFormat="1" applyFont="1" applyFill="1" applyBorder="1" applyAlignment="1">
      <alignment horizontal="left" vertical="center"/>
    </xf>
    <xf numFmtId="0" fontId="26" fillId="0" borderId="53" xfId="1" applyFont="1" applyFill="1" applyBorder="1" applyAlignment="1">
      <alignment horizontal="center"/>
    </xf>
    <xf numFmtId="0" fontId="64" fillId="0" borderId="0" xfId="1" applyFont="1" applyFill="1" applyBorder="1" applyAlignment="1">
      <alignment horizontal="center"/>
    </xf>
    <xf numFmtId="0" fontId="64" fillId="28" borderId="184" xfId="1" applyFont="1" applyFill="1" applyBorder="1" applyAlignment="1">
      <alignment horizontal="center"/>
    </xf>
    <xf numFmtId="0" fontId="18" fillId="0" borderId="188" xfId="1" applyFont="1" applyFill="1" applyBorder="1" applyAlignment="1">
      <alignment horizontal="left" vertical="center"/>
    </xf>
    <xf numFmtId="3" fontId="18" fillId="0" borderId="4" xfId="1" applyNumberFormat="1" applyFont="1" applyFill="1" applyBorder="1" applyAlignment="1">
      <alignment horizontal="center" vertical="center"/>
    </xf>
    <xf numFmtId="3" fontId="18" fillId="0" borderId="188" xfId="1" applyNumberFormat="1" applyFont="1" applyFill="1" applyBorder="1" applyAlignment="1">
      <alignment horizontal="center" vertical="center"/>
    </xf>
    <xf numFmtId="3" fontId="18" fillId="0" borderId="166" xfId="1" applyNumberFormat="1" applyFont="1" applyFill="1" applyBorder="1" applyAlignment="1">
      <alignment horizontal="center" vertical="center"/>
    </xf>
    <xf numFmtId="3" fontId="18" fillId="0" borderId="141" xfId="1" applyNumberFormat="1" applyFont="1" applyFill="1" applyBorder="1" applyAlignment="1">
      <alignment horizontal="center" vertical="center"/>
    </xf>
    <xf numFmtId="3" fontId="64" fillId="0" borderId="166" xfId="1" applyNumberFormat="1" applyFont="1" applyFill="1" applyBorder="1" applyAlignment="1">
      <alignment horizontal="center" vertical="center"/>
    </xf>
    <xf numFmtId="0" fontId="132" fillId="0" borderId="187" xfId="1" applyFont="1" applyBorder="1"/>
    <xf numFmtId="3" fontId="64" fillId="0" borderId="178" xfId="1" applyNumberFormat="1" applyFont="1" applyFill="1" applyBorder="1" applyAlignment="1">
      <alignment horizontal="center" vertical="center"/>
    </xf>
    <xf numFmtId="0" fontId="91" fillId="0" borderId="165" xfId="1" applyFont="1" applyFill="1" applyBorder="1" applyAlignment="1">
      <alignment horizontal="right" vertical="center"/>
    </xf>
    <xf numFmtId="0" fontId="91" fillId="0" borderId="166" xfId="1" applyFont="1" applyFill="1" applyBorder="1" applyAlignment="1">
      <alignment horizontal="right" vertical="center"/>
    </xf>
    <xf numFmtId="0" fontId="133" fillId="0" borderId="158" xfId="1" applyFont="1" applyFill="1" applyBorder="1" applyAlignment="1">
      <alignment horizontal="center" vertical="center"/>
    </xf>
    <xf numFmtId="0" fontId="23" fillId="0" borderId="73" xfId="17" quotePrefix="1" applyFill="1" applyBorder="1" applyAlignment="1">
      <alignment horizontal="center" vertical="center"/>
    </xf>
    <xf numFmtId="173" fontId="132" fillId="0" borderId="189" xfId="1" applyNumberFormat="1" applyFont="1" applyBorder="1" applyAlignment="1">
      <alignment horizontal="center" vertical="center"/>
    </xf>
    <xf numFmtId="3" fontId="18" fillId="0" borderId="176" xfId="1" applyNumberFormat="1" applyFont="1" applyFill="1" applyBorder="1" applyAlignment="1">
      <alignment horizontal="center" vertical="center"/>
    </xf>
    <xf numFmtId="3" fontId="18" fillId="0" borderId="179" xfId="1" applyNumberFormat="1" applyFont="1" applyFill="1" applyBorder="1" applyAlignment="1">
      <alignment horizontal="center" vertical="center"/>
    </xf>
    <xf numFmtId="3" fontId="18" fillId="0" borderId="76" xfId="1" applyNumberFormat="1" applyFont="1" applyFill="1" applyBorder="1" applyAlignment="1">
      <alignment horizontal="center" vertical="center"/>
    </xf>
    <xf numFmtId="0" fontId="2" fillId="0" borderId="76" xfId="1" applyFill="1" applyBorder="1"/>
    <xf numFmtId="3" fontId="18" fillId="0" borderId="180" xfId="1" applyNumberFormat="1" applyFont="1" applyFill="1" applyBorder="1" applyAlignment="1">
      <alignment horizontal="center" vertical="center"/>
    </xf>
    <xf numFmtId="3" fontId="18" fillId="0" borderId="175" xfId="1" applyNumberFormat="1" applyFont="1" applyFill="1" applyBorder="1" applyAlignment="1">
      <alignment horizontal="center" vertical="center"/>
    </xf>
    <xf numFmtId="3" fontId="128" fillId="0" borderId="178" xfId="1" applyNumberFormat="1" applyFont="1" applyFill="1" applyBorder="1" applyAlignment="1">
      <alignment horizontal="center" vertical="center"/>
    </xf>
    <xf numFmtId="0" fontId="12" fillId="0" borderId="148" xfId="17" applyFont="1" applyFill="1" applyBorder="1" applyAlignment="1">
      <alignment horizontal="center" vertical="center"/>
    </xf>
    <xf numFmtId="0" fontId="23" fillId="0" borderId="111" xfId="15" applyFill="1" applyBorder="1" applyAlignment="1">
      <alignment horizontal="center" vertical="center"/>
    </xf>
    <xf numFmtId="0" fontId="74" fillId="0" borderId="9" xfId="1" applyFont="1" applyFill="1" applyBorder="1" applyAlignment="1">
      <alignment horizontal="center" vertical="center"/>
    </xf>
    <xf numFmtId="0" fontId="74" fillId="0" borderId="69" xfId="1" applyFont="1" applyFill="1" applyBorder="1" applyAlignment="1">
      <alignment horizontal="center" vertical="center"/>
    </xf>
    <xf numFmtId="0" fontId="74" fillId="0" borderId="40" xfId="1" applyFont="1" applyFill="1" applyBorder="1" applyAlignment="1">
      <alignment horizontal="center" vertical="center"/>
    </xf>
    <xf numFmtId="0" fontId="53" fillId="0" borderId="5" xfId="1" applyFont="1" applyFill="1" applyBorder="1" applyAlignment="1">
      <alignment horizontal="left" vertical="center"/>
    </xf>
    <xf numFmtId="0" fontId="53" fillId="0" borderId="68" xfId="1" applyFont="1" applyFill="1" applyBorder="1" applyAlignment="1">
      <alignment horizontal="left" vertical="center"/>
    </xf>
    <xf numFmtId="0" fontId="23" fillId="0" borderId="5" xfId="15" applyFill="1" applyBorder="1" applyAlignment="1">
      <alignment horizontal="left" vertical="center"/>
    </xf>
    <xf numFmtId="0" fontId="23" fillId="0" borderId="68" xfId="15" applyFill="1" applyBorder="1" applyAlignment="1">
      <alignment horizontal="left" vertical="center"/>
    </xf>
    <xf numFmtId="173" fontId="132" fillId="0" borderId="187" xfId="1" applyNumberFormat="1" applyFont="1" applyBorder="1" applyAlignment="1">
      <alignment horizontal="center" vertical="center"/>
    </xf>
    <xf numFmtId="0" fontId="74" fillId="0" borderId="166" xfId="1" applyFont="1" applyFill="1" applyBorder="1" applyAlignment="1">
      <alignment horizontal="center" vertical="center"/>
    </xf>
    <xf numFmtId="0" fontId="23" fillId="0" borderId="186" xfId="15" applyFill="1" applyBorder="1" applyAlignment="1">
      <alignment horizontal="left" vertical="center"/>
    </xf>
    <xf numFmtId="0" fontId="53" fillId="0" borderId="138" xfId="1" applyFont="1" applyFill="1" applyBorder="1" applyAlignment="1">
      <alignment horizontal="left" vertical="center"/>
    </xf>
    <xf numFmtId="0" fontId="74" fillId="0" borderId="184" xfId="1" applyFont="1" applyFill="1" applyBorder="1" applyAlignment="1">
      <alignment horizontal="center" vertical="center"/>
    </xf>
    <xf numFmtId="0" fontId="133" fillId="0" borderId="101" xfId="1" applyFont="1" applyFill="1" applyBorder="1" applyAlignment="1">
      <alignment horizontal="center" vertical="center"/>
    </xf>
    <xf numFmtId="0" fontId="130" fillId="0" borderId="75" xfId="1" applyFont="1" applyFill="1" applyBorder="1" applyAlignment="1">
      <alignment horizontal="center" vertical="center" wrapText="1"/>
    </xf>
    <xf numFmtId="0" fontId="23" fillId="0" borderId="75" xfId="17" quotePrefix="1" applyFill="1" applyBorder="1" applyAlignment="1">
      <alignment horizontal="center" vertical="center"/>
    </xf>
    <xf numFmtId="0" fontId="23" fillId="0" borderId="75" xfId="15" quotePrefix="1" applyFill="1" applyBorder="1" applyAlignment="1">
      <alignment horizontal="center" vertical="center"/>
    </xf>
    <xf numFmtId="3" fontId="45" fillId="0" borderId="156" xfId="1" applyNumberFormat="1" applyFont="1" applyFill="1" applyBorder="1" applyAlignment="1">
      <alignment horizontal="center" vertical="center"/>
    </xf>
    <xf numFmtId="3" fontId="18" fillId="0" borderId="186" xfId="1" applyNumberFormat="1" applyFont="1" applyFill="1" applyBorder="1" applyAlignment="1">
      <alignment horizontal="center" vertical="center"/>
    </xf>
    <xf numFmtId="3" fontId="128" fillId="0" borderId="186" xfId="1" applyNumberFormat="1" applyFont="1" applyFill="1" applyBorder="1" applyAlignment="1">
      <alignment horizontal="center" vertical="center"/>
    </xf>
    <xf numFmtId="3" fontId="64" fillId="0" borderId="186" xfId="1" applyNumberFormat="1" applyFont="1" applyFill="1" applyBorder="1" applyAlignment="1">
      <alignment horizontal="center" vertical="center"/>
    </xf>
    <xf numFmtId="0" fontId="133" fillId="0" borderId="75" xfId="1" applyFont="1" applyFill="1" applyBorder="1" applyAlignment="1">
      <alignment horizontal="center" vertical="center"/>
    </xf>
    <xf numFmtId="0" fontId="133" fillId="0" borderId="0" xfId="1" applyFont="1" applyFill="1" applyBorder="1" applyAlignment="1">
      <alignment horizontal="center" vertical="center"/>
    </xf>
    <xf numFmtId="0" fontId="130" fillId="0" borderId="0" xfId="1" applyFont="1" applyFill="1" applyBorder="1" applyAlignment="1">
      <alignment horizontal="center" vertical="center" wrapText="1"/>
    </xf>
    <xf numFmtId="0" fontId="23" fillId="0" borderId="0" xfId="17" quotePrefix="1" applyFill="1" applyBorder="1" applyAlignment="1">
      <alignment horizontal="center" vertical="center"/>
    </xf>
    <xf numFmtId="0" fontId="23" fillId="0" borderId="0" xfId="15" quotePrefix="1" applyFill="1" applyBorder="1" applyAlignment="1">
      <alignment horizontal="center" vertical="center"/>
    </xf>
    <xf numFmtId="0" fontId="12" fillId="0" borderId="75" xfId="17" applyFont="1" applyFill="1" applyBorder="1" applyAlignment="1">
      <alignment horizontal="center" vertical="center"/>
    </xf>
    <xf numFmtId="0" fontId="12" fillId="0" borderId="0" xfId="17" applyFont="1" applyFill="1" applyBorder="1" applyAlignment="1">
      <alignment horizontal="center" vertical="center"/>
    </xf>
    <xf numFmtId="3" fontId="131" fillId="0" borderId="75" xfId="17" applyNumberFormat="1" applyFont="1" applyFill="1" applyBorder="1" applyAlignment="1">
      <alignment horizontal="center" vertical="center"/>
    </xf>
    <xf numFmtId="3" fontId="131" fillId="0" borderId="0" xfId="17" applyNumberFormat="1" applyFont="1" applyFill="1" applyBorder="1" applyAlignment="1">
      <alignment horizontal="center" vertical="center"/>
    </xf>
    <xf numFmtId="3" fontId="45" fillId="0" borderId="75" xfId="1" applyNumberFormat="1" applyFont="1" applyFill="1" applyBorder="1" applyAlignment="1">
      <alignment horizontal="center" vertical="center"/>
    </xf>
    <xf numFmtId="3" fontId="18" fillId="0" borderId="75" xfId="1" applyNumberFormat="1" applyFont="1" applyFill="1" applyBorder="1" applyAlignment="1">
      <alignment horizontal="center" vertical="center"/>
    </xf>
    <xf numFmtId="3" fontId="17" fillId="0" borderId="75" xfId="1" applyNumberFormat="1" applyFont="1" applyFill="1" applyBorder="1" applyAlignment="1">
      <alignment horizontal="center" vertical="center"/>
    </xf>
    <xf numFmtId="3" fontId="17" fillId="0" borderId="0" xfId="1" applyNumberFormat="1" applyFont="1" applyFill="1" applyBorder="1" applyAlignment="1">
      <alignment horizontal="center" vertical="center"/>
    </xf>
    <xf numFmtId="3" fontId="128" fillId="0" borderId="75" xfId="1" applyNumberFormat="1" applyFont="1" applyFill="1" applyBorder="1" applyAlignment="1">
      <alignment horizontal="center" vertical="center"/>
    </xf>
    <xf numFmtId="3" fontId="128" fillId="0" borderId="0" xfId="1" applyNumberFormat="1" applyFont="1" applyFill="1" applyBorder="1" applyAlignment="1">
      <alignment horizontal="center" vertical="center"/>
    </xf>
    <xf numFmtId="3" fontId="64" fillId="0" borderId="75" xfId="1" applyNumberFormat="1" applyFont="1" applyFill="1" applyBorder="1" applyAlignment="1">
      <alignment horizontal="center" vertical="center"/>
    </xf>
    <xf numFmtId="173" fontId="132" fillId="0" borderId="190" xfId="1" applyNumberFormat="1" applyFont="1" applyBorder="1" applyAlignment="1">
      <alignment horizontal="center" vertical="center"/>
    </xf>
    <xf numFmtId="173" fontId="132" fillId="0" borderId="191" xfId="1" applyNumberFormat="1" applyFont="1" applyBorder="1" applyAlignment="1">
      <alignment horizontal="center" vertical="center"/>
    </xf>
    <xf numFmtId="0" fontId="2" fillId="0" borderId="135" xfId="15" applyFont="1" applyFill="1" applyBorder="1" applyAlignment="1">
      <alignment horizontal="center" vertical="center"/>
    </xf>
    <xf numFmtId="0" fontId="137" fillId="0" borderId="73" xfId="1" applyFont="1" applyFill="1" applyBorder="1" applyAlignment="1">
      <alignment horizontal="center" vertical="center" wrapText="1"/>
    </xf>
    <xf numFmtId="0" fontId="136" fillId="0" borderId="148" xfId="17" applyFont="1" applyFill="1" applyBorder="1" applyAlignment="1">
      <alignment horizontal="center" vertical="center"/>
    </xf>
    <xf numFmtId="0" fontId="136" fillId="0" borderId="156" xfId="17" applyFont="1" applyFill="1" applyBorder="1" applyAlignment="1">
      <alignment horizontal="center" vertical="center"/>
    </xf>
    <xf numFmtId="0" fontId="12" fillId="0" borderId="73" xfId="15" applyFont="1" applyFill="1" applyBorder="1" applyAlignment="1">
      <alignment horizontal="center" vertical="center"/>
    </xf>
    <xf numFmtId="0" fontId="2" fillId="0" borderId="73" xfId="17" quotePrefix="1" applyFont="1" applyFill="1" applyBorder="1" applyAlignment="1">
      <alignment horizontal="center" vertical="center"/>
    </xf>
    <xf numFmtId="0" fontId="25" fillId="0" borderId="166" xfId="1" applyFont="1" applyFill="1" applyBorder="1" applyAlignment="1">
      <alignment horizontal="center" vertical="center"/>
    </xf>
    <xf numFmtId="173" fontId="132" fillId="0" borderId="192" xfId="1" applyNumberFormat="1" applyFont="1" applyBorder="1" applyAlignment="1">
      <alignment horizontal="center" vertical="center"/>
    </xf>
    <xf numFmtId="3" fontId="134" fillId="0" borderId="186" xfId="1" applyNumberFormat="1" applyFont="1" applyFill="1" applyBorder="1" applyAlignment="1">
      <alignment horizontal="center" vertical="center"/>
    </xf>
    <xf numFmtId="3" fontId="18" fillId="0" borderId="193" xfId="1" applyNumberFormat="1" applyFont="1" applyFill="1" applyBorder="1" applyAlignment="1">
      <alignment horizontal="center" vertical="center"/>
    </xf>
    <xf numFmtId="3" fontId="18" fillId="0" borderId="195" xfId="1" applyNumberFormat="1" applyFont="1" applyFill="1" applyBorder="1" applyAlignment="1">
      <alignment horizontal="center" vertical="center"/>
    </xf>
    <xf numFmtId="3" fontId="18" fillId="0" borderId="194" xfId="1" applyNumberFormat="1" applyFont="1" applyFill="1" applyBorder="1" applyAlignment="1">
      <alignment horizontal="center" vertical="center"/>
    </xf>
    <xf numFmtId="3" fontId="18" fillId="0" borderId="98" xfId="1" applyNumberFormat="1" applyFont="1" applyFill="1" applyBorder="1" applyAlignment="1">
      <alignment horizontal="center" vertical="center"/>
    </xf>
    <xf numFmtId="173" fontId="132" fillId="0" borderId="196" xfId="1" applyNumberFormat="1" applyFont="1" applyBorder="1" applyAlignment="1">
      <alignment horizontal="center" vertical="center"/>
    </xf>
    <xf numFmtId="0" fontId="109" fillId="41" borderId="186" xfId="15" applyFont="1" applyFill="1" applyBorder="1" applyAlignment="1">
      <alignment horizontal="left" vertical="center"/>
    </xf>
    <xf numFmtId="0" fontId="23" fillId="0" borderId="68" xfId="15" applyFont="1" applyFill="1" applyBorder="1" applyAlignment="1">
      <alignment horizontal="left" vertical="center"/>
    </xf>
    <xf numFmtId="0" fontId="2" fillId="0" borderId="5" xfId="15" applyFont="1" applyFill="1" applyBorder="1" applyAlignment="1">
      <alignment horizontal="left" vertical="center"/>
    </xf>
    <xf numFmtId="0" fontId="127" fillId="41" borderId="5" xfId="15" applyFont="1" applyFill="1" applyBorder="1" applyAlignment="1">
      <alignment horizontal="left" vertical="center"/>
    </xf>
    <xf numFmtId="0" fontId="74" fillId="0" borderId="70" xfId="1" applyFont="1" applyFill="1" applyBorder="1" applyAlignment="1">
      <alignment horizontal="center" vertical="center"/>
    </xf>
    <xf numFmtId="3" fontId="18" fillId="0" borderId="165" xfId="1" applyNumberFormat="1" applyFont="1" applyFill="1" applyBorder="1" applyAlignment="1">
      <alignment horizontal="center" vertical="center"/>
    </xf>
    <xf numFmtId="3" fontId="18" fillId="0" borderId="197" xfId="1" applyNumberFormat="1" applyFont="1" applyFill="1" applyBorder="1" applyAlignment="1">
      <alignment horizontal="center" vertical="center"/>
    </xf>
    <xf numFmtId="3" fontId="18" fillId="0" borderId="198" xfId="1" applyNumberFormat="1" applyFont="1" applyFill="1" applyBorder="1" applyAlignment="1">
      <alignment horizontal="center" vertical="center"/>
    </xf>
    <xf numFmtId="3" fontId="18" fillId="0" borderId="199" xfId="1" applyNumberFormat="1" applyFont="1" applyFill="1" applyBorder="1" applyAlignment="1">
      <alignment horizontal="center" vertical="center"/>
    </xf>
    <xf numFmtId="3" fontId="18" fillId="0" borderId="200" xfId="1" applyNumberFormat="1" applyFont="1" applyFill="1" applyBorder="1" applyAlignment="1">
      <alignment horizontal="center" vertical="center"/>
    </xf>
    <xf numFmtId="3" fontId="18" fillId="0" borderId="201" xfId="1" applyNumberFormat="1" applyFont="1" applyFill="1" applyBorder="1" applyAlignment="1">
      <alignment horizontal="center" vertical="center"/>
    </xf>
    <xf numFmtId="3" fontId="18" fillId="0" borderId="202" xfId="1" applyNumberFormat="1" applyFont="1" applyFill="1" applyBorder="1" applyAlignment="1">
      <alignment horizontal="center" vertical="center"/>
    </xf>
    <xf numFmtId="3" fontId="18" fillId="0" borderId="203" xfId="1" applyNumberFormat="1" applyFont="1" applyFill="1" applyBorder="1" applyAlignment="1">
      <alignment horizontal="center" vertical="center"/>
    </xf>
    <xf numFmtId="173" fontId="132" fillId="0" borderId="204" xfId="1" applyNumberFormat="1" applyFont="1" applyBorder="1" applyAlignment="1">
      <alignment horizontal="center" vertical="center"/>
    </xf>
    <xf numFmtId="3" fontId="2" fillId="0" borderId="186" xfId="15" applyNumberFormat="1" applyFont="1" applyFill="1" applyBorder="1" applyAlignment="1">
      <alignment horizontal="left" vertical="center"/>
    </xf>
    <xf numFmtId="0" fontId="25" fillId="0" borderId="188" xfId="1" applyFont="1" applyFill="1" applyBorder="1" applyAlignment="1">
      <alignment horizontal="center" vertical="center"/>
    </xf>
    <xf numFmtId="3" fontId="18" fillId="0" borderId="133" xfId="1" applyNumberFormat="1" applyFont="1" applyFill="1" applyBorder="1" applyAlignment="1">
      <alignment horizontal="center" vertical="center"/>
    </xf>
    <xf numFmtId="165" fontId="23" fillId="0" borderId="0" xfId="15" applyNumberFormat="1" applyFill="1" applyAlignment="1">
      <alignment horizontal="left" vertical="top"/>
    </xf>
    <xf numFmtId="3" fontId="18" fillId="0" borderId="29" xfId="1" applyNumberFormat="1" applyFont="1" applyFill="1" applyBorder="1" applyAlignment="1">
      <alignment horizontal="center" vertical="center"/>
    </xf>
    <xf numFmtId="3" fontId="18" fillId="0" borderId="205" xfId="1" applyNumberFormat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left" vertical="center"/>
    </xf>
    <xf numFmtId="0" fontId="23" fillId="38" borderId="5" xfId="15" applyFill="1" applyBorder="1" applyAlignment="1">
      <alignment horizontal="left" vertical="center"/>
    </xf>
    <xf numFmtId="0" fontId="64" fillId="0" borderId="188" xfId="1" applyFont="1" applyFill="1" applyBorder="1" applyAlignment="1">
      <alignment horizontal="center"/>
    </xf>
    <xf numFmtId="173" fontId="132" fillId="0" borderId="206" xfId="1" applyNumberFormat="1" applyFont="1" applyBorder="1" applyAlignment="1">
      <alignment horizontal="center" vertical="center"/>
    </xf>
    <xf numFmtId="3" fontId="64" fillId="0" borderId="177" xfId="1" applyNumberFormat="1" applyFont="1" applyFill="1" applyBorder="1" applyAlignment="1">
      <alignment horizontal="center" vertical="center"/>
    </xf>
    <xf numFmtId="3" fontId="128" fillId="0" borderId="156" xfId="1" applyNumberFormat="1" applyFont="1" applyFill="1" applyBorder="1" applyAlignment="1">
      <alignment horizontal="center" vertical="center"/>
    </xf>
    <xf numFmtId="3" fontId="18" fillId="0" borderId="55" xfId="1" applyNumberFormat="1" applyFont="1" applyFill="1" applyBorder="1" applyAlignment="1">
      <alignment horizontal="center" vertical="center"/>
    </xf>
    <xf numFmtId="0" fontId="23" fillId="38" borderId="8" xfId="15" applyFont="1" applyFill="1" applyBorder="1" applyAlignment="1">
      <alignment horizontal="left" vertical="center"/>
    </xf>
    <xf numFmtId="0" fontId="23" fillId="38" borderId="0" xfId="15" applyFont="1" applyFill="1" applyBorder="1" applyAlignment="1">
      <alignment horizontal="left" vertical="center"/>
    </xf>
    <xf numFmtId="0" fontId="109" fillId="38" borderId="0" xfId="15" applyFont="1" applyFill="1" applyBorder="1" applyAlignment="1">
      <alignment horizontal="left" vertical="center"/>
    </xf>
    <xf numFmtId="0" fontId="23" fillId="46" borderId="0" xfId="15" applyFont="1" applyFill="1" applyBorder="1" applyAlignment="1">
      <alignment horizontal="left" vertical="center"/>
    </xf>
    <xf numFmtId="0" fontId="23" fillId="38" borderId="87" xfId="15" applyFont="1" applyFill="1" applyBorder="1" applyAlignment="1">
      <alignment horizontal="left" vertical="center"/>
    </xf>
    <xf numFmtId="0" fontId="23" fillId="38" borderId="138" xfId="15" applyFill="1" applyBorder="1" applyAlignment="1">
      <alignment horizontal="left" vertical="center"/>
    </xf>
    <xf numFmtId="0" fontId="23" fillId="38" borderId="138" xfId="15" applyFill="1" applyBorder="1" applyAlignment="1">
      <alignment vertical="center"/>
    </xf>
    <xf numFmtId="0" fontId="23" fillId="38" borderId="101" xfId="15" applyFill="1" applyBorder="1" applyAlignment="1">
      <alignment horizontal="left" vertical="center"/>
    </xf>
    <xf numFmtId="0" fontId="23" fillId="48" borderId="138" xfId="15" applyFill="1" applyBorder="1" applyAlignment="1">
      <alignment horizontal="left" vertical="center"/>
    </xf>
    <xf numFmtId="0" fontId="23" fillId="48" borderId="101" xfId="15" applyFill="1" applyBorder="1" applyAlignment="1">
      <alignment horizontal="left" vertical="center"/>
    </xf>
    <xf numFmtId="0" fontId="23" fillId="38" borderId="186" xfId="15" applyFill="1" applyBorder="1" applyAlignment="1">
      <alignment horizontal="left" vertical="center"/>
    </xf>
    <xf numFmtId="3" fontId="53" fillId="7" borderId="73" xfId="1" applyNumberFormat="1" applyFont="1" applyFill="1" applyBorder="1" applyAlignment="1">
      <alignment horizontal="left" vertical="center"/>
    </xf>
    <xf numFmtId="14" fontId="53" fillId="7" borderId="73" xfId="1" applyNumberFormat="1" applyFont="1" applyFill="1" applyBorder="1" applyAlignment="1">
      <alignment horizontal="center" vertical="center"/>
    </xf>
    <xf numFmtId="14" fontId="140" fillId="0" borderId="0" xfId="1" applyNumberFormat="1" applyFont="1" applyFill="1" applyAlignment="1">
      <alignment horizontal="center" vertical="center"/>
    </xf>
    <xf numFmtId="2" fontId="53" fillId="0" borderId="112" xfId="1" applyNumberFormat="1" applyFont="1" applyFill="1" applyBorder="1" applyAlignment="1">
      <alignment horizontal="center" vertical="center"/>
    </xf>
    <xf numFmtId="2" fontId="53" fillId="0" borderId="207" xfId="1" applyNumberFormat="1" applyFont="1" applyFill="1" applyBorder="1" applyAlignment="1">
      <alignment horizontal="center" vertical="center"/>
    </xf>
    <xf numFmtId="2" fontId="53" fillId="28" borderId="112" xfId="1" applyNumberFormat="1" applyFont="1" applyFill="1" applyBorder="1" applyAlignment="1">
      <alignment horizontal="center" vertical="center"/>
    </xf>
    <xf numFmtId="2" fontId="53" fillId="28" borderId="39" xfId="1" applyNumberFormat="1" applyFont="1" applyFill="1" applyBorder="1" applyAlignment="1">
      <alignment horizontal="center" vertical="center"/>
    </xf>
    <xf numFmtId="2" fontId="53" fillId="22" borderId="112" xfId="1" applyNumberFormat="1" applyFont="1" applyFill="1" applyBorder="1" applyAlignment="1">
      <alignment horizontal="center" vertical="center"/>
    </xf>
    <xf numFmtId="2" fontId="53" fillId="22" borderId="207" xfId="1" applyNumberFormat="1" applyFont="1" applyFill="1" applyBorder="1" applyAlignment="1">
      <alignment horizontal="center" vertical="center"/>
    </xf>
    <xf numFmtId="2" fontId="53" fillId="22" borderId="118" xfId="1" applyNumberFormat="1" applyFont="1" applyFill="1" applyBorder="1" applyAlignment="1">
      <alignment horizontal="center" vertical="center"/>
    </xf>
    <xf numFmtId="2" fontId="53" fillId="13" borderId="112" xfId="1" applyNumberFormat="1" applyFont="1" applyFill="1" applyBorder="1" applyAlignment="1">
      <alignment horizontal="center" vertical="center"/>
    </xf>
    <xf numFmtId="2" fontId="53" fillId="13" borderId="207" xfId="1" applyNumberFormat="1" applyFont="1" applyFill="1" applyBorder="1" applyAlignment="1">
      <alignment horizontal="center" vertical="center"/>
    </xf>
    <xf numFmtId="2" fontId="53" fillId="35" borderId="112" xfId="1" applyNumberFormat="1" applyFont="1" applyFill="1" applyBorder="1" applyAlignment="1">
      <alignment horizontal="center" vertical="center"/>
    </xf>
    <xf numFmtId="2" fontId="53" fillId="35" borderId="207" xfId="1" applyNumberFormat="1" applyFont="1" applyFill="1" applyBorder="1" applyAlignment="1">
      <alignment horizontal="center" vertical="center"/>
    </xf>
    <xf numFmtId="2" fontId="53" fillId="6" borderId="112" xfId="1" applyNumberFormat="1" applyFont="1" applyFill="1" applyBorder="1" applyAlignment="1">
      <alignment horizontal="center" vertical="center"/>
    </xf>
    <xf numFmtId="2" fontId="53" fillId="6" borderId="207" xfId="1" applyNumberFormat="1" applyFont="1" applyFill="1" applyBorder="1" applyAlignment="1">
      <alignment horizontal="center" vertical="center"/>
    </xf>
    <xf numFmtId="3" fontId="48" fillId="0" borderId="63" xfId="1" applyNumberFormat="1" applyFont="1" applyFill="1" applyBorder="1" applyAlignment="1">
      <alignment horizontal="center" vertical="center"/>
    </xf>
    <xf numFmtId="14" fontId="53" fillId="9" borderId="73" xfId="1" applyNumberFormat="1" applyFont="1" applyFill="1" applyBorder="1" applyAlignment="1">
      <alignment horizontal="center" vertical="center"/>
    </xf>
    <xf numFmtId="0" fontId="113" fillId="33" borderId="17" xfId="1" applyFont="1" applyFill="1" applyBorder="1" applyAlignment="1">
      <alignment horizontal="center" vertical="center"/>
    </xf>
    <xf numFmtId="0" fontId="113" fillId="34" borderId="17" xfId="1" applyFont="1" applyFill="1" applyBorder="1" applyAlignment="1">
      <alignment horizontal="center" vertical="center"/>
    </xf>
    <xf numFmtId="0" fontId="113" fillId="12" borderId="17" xfId="1" applyFont="1" applyFill="1" applyBorder="1" applyAlignment="1">
      <alignment horizontal="center" vertical="center"/>
    </xf>
    <xf numFmtId="0" fontId="115" fillId="6" borderId="2" xfId="1" applyFont="1" applyFill="1" applyBorder="1" applyAlignment="1">
      <alignment horizontal="center" vertical="center"/>
    </xf>
    <xf numFmtId="0" fontId="108" fillId="13" borderId="82" xfId="1" applyFont="1" applyFill="1" applyBorder="1" applyAlignment="1">
      <alignment horizontal="center" vertical="center"/>
    </xf>
    <xf numFmtId="0" fontId="113" fillId="15" borderId="17" xfId="1" applyFont="1" applyFill="1" applyBorder="1" applyAlignment="1">
      <alignment horizontal="center" vertical="center"/>
    </xf>
    <xf numFmtId="0" fontId="23" fillId="23" borderId="0" xfId="15" applyFont="1" applyFill="1" applyBorder="1" applyAlignment="1">
      <alignment horizontal="left" vertical="center"/>
    </xf>
    <xf numFmtId="0" fontId="116" fillId="35" borderId="0" xfId="1" applyFont="1" applyFill="1" applyBorder="1" applyAlignment="1">
      <alignment horizontal="center"/>
    </xf>
    <xf numFmtId="0" fontId="115" fillId="19" borderId="19" xfId="1" applyFont="1" applyFill="1" applyBorder="1" applyAlignment="1">
      <alignment horizontal="center"/>
    </xf>
    <xf numFmtId="3" fontId="53" fillId="19" borderId="115" xfId="1" applyNumberFormat="1" applyFont="1" applyFill="1" applyBorder="1" applyAlignment="1">
      <alignment horizontal="left" vertical="center"/>
    </xf>
    <xf numFmtId="3" fontId="53" fillId="23" borderId="73" xfId="1" applyNumberFormat="1" applyFont="1" applyFill="1" applyBorder="1" applyAlignment="1">
      <alignment horizontal="left" vertical="center"/>
    </xf>
    <xf numFmtId="3" fontId="53" fillId="22" borderId="61" xfId="1" applyNumberFormat="1" applyFont="1" applyFill="1" applyBorder="1" applyAlignment="1">
      <alignment horizontal="left" vertical="center"/>
    </xf>
    <xf numFmtId="3" fontId="53" fillId="19" borderId="115" xfId="1" applyNumberFormat="1" applyFont="1" applyFill="1" applyBorder="1" applyAlignment="1">
      <alignment horizontal="center" vertical="center"/>
    </xf>
    <xf numFmtId="3" fontId="53" fillId="23" borderId="73" xfId="1" applyNumberFormat="1" applyFont="1" applyFill="1" applyBorder="1" applyAlignment="1">
      <alignment horizontal="center" vertical="center"/>
    </xf>
    <xf numFmtId="3" fontId="53" fillId="22" borderId="61" xfId="1" applyNumberFormat="1" applyFont="1" applyFill="1" applyBorder="1" applyAlignment="1">
      <alignment horizontal="center" vertical="center"/>
    </xf>
    <xf numFmtId="0" fontId="108" fillId="0" borderId="73" xfId="1" applyFont="1" applyFill="1" applyBorder="1" applyAlignment="1">
      <alignment horizontal="center" vertical="center"/>
    </xf>
    <xf numFmtId="0" fontId="2" fillId="19" borderId="115" xfId="1" applyFont="1" applyFill="1" applyBorder="1" applyAlignment="1">
      <alignment horizontal="center" vertical="center"/>
    </xf>
    <xf numFmtId="0" fontId="2" fillId="23" borderId="73" xfId="1" applyFont="1" applyFill="1" applyBorder="1" applyAlignment="1">
      <alignment horizontal="center" vertical="center"/>
    </xf>
    <xf numFmtId="0" fontId="2" fillId="22" borderId="61" xfId="1" applyFont="1" applyFill="1" applyBorder="1" applyAlignment="1">
      <alignment horizontal="center" vertical="center"/>
    </xf>
    <xf numFmtId="14" fontId="53" fillId="19" borderId="115" xfId="1" applyNumberFormat="1" applyFont="1" applyFill="1" applyBorder="1" applyAlignment="1">
      <alignment horizontal="center" vertical="center"/>
    </xf>
    <xf numFmtId="14" fontId="53" fillId="23" borderId="73" xfId="1" applyNumberFormat="1" applyFont="1" applyFill="1" applyBorder="1" applyAlignment="1">
      <alignment horizontal="center" vertical="center"/>
    </xf>
    <xf numFmtId="14" fontId="53" fillId="22" borderId="61" xfId="1" applyNumberFormat="1" applyFont="1" applyFill="1" applyBorder="1" applyAlignment="1">
      <alignment horizontal="center" vertical="center"/>
    </xf>
    <xf numFmtId="3" fontId="53" fillId="49" borderId="73" xfId="1" applyNumberFormat="1" applyFont="1" applyFill="1" applyBorder="1" applyAlignment="1">
      <alignment horizontal="left" vertical="center"/>
    </xf>
    <xf numFmtId="3" fontId="53" fillId="49" borderId="73" xfId="1" applyNumberFormat="1" applyFont="1" applyFill="1" applyBorder="1" applyAlignment="1">
      <alignment horizontal="center" vertical="center"/>
    </xf>
    <xf numFmtId="0" fontId="2" fillId="49" borderId="73" xfId="1" applyFont="1" applyFill="1" applyBorder="1" applyAlignment="1">
      <alignment horizontal="center" vertical="center"/>
    </xf>
    <xf numFmtId="14" fontId="53" fillId="49" borderId="73" xfId="1" applyNumberFormat="1" applyFont="1" applyFill="1" applyBorder="1" applyAlignment="1">
      <alignment horizontal="center" vertical="center"/>
    </xf>
    <xf numFmtId="0" fontId="107" fillId="28" borderId="0" xfId="1" applyFont="1" applyFill="1" applyBorder="1" applyAlignment="1">
      <alignment horizontal="left" vertical="center"/>
    </xf>
    <xf numFmtId="0" fontId="107" fillId="29" borderId="0" xfId="1" applyFont="1" applyFill="1" applyBorder="1" applyAlignment="1">
      <alignment horizontal="left" vertical="center"/>
    </xf>
    <xf numFmtId="0" fontId="107" fillId="28" borderId="0" xfId="15" applyFont="1" applyFill="1" applyBorder="1" applyAlignment="1">
      <alignment horizontal="left" vertical="center"/>
    </xf>
    <xf numFmtId="0" fontId="127" fillId="3" borderId="0" xfId="15" applyFont="1" applyFill="1" applyBorder="1" applyAlignment="1">
      <alignment horizontal="left" vertical="center"/>
    </xf>
    <xf numFmtId="0" fontId="127" fillId="3" borderId="87" xfId="15" applyFont="1" applyFill="1" applyBorder="1" applyAlignment="1">
      <alignment horizontal="left" vertical="center"/>
    </xf>
    <xf numFmtId="0" fontId="127" fillId="3" borderId="8" xfId="15" applyFont="1" applyFill="1" applyBorder="1" applyAlignment="1">
      <alignment horizontal="left" vertical="center"/>
    </xf>
    <xf numFmtId="0" fontId="127" fillId="19" borderId="87" xfId="15" applyFont="1" applyFill="1" applyBorder="1" applyAlignment="1">
      <alignment horizontal="left" vertical="center"/>
    </xf>
    <xf numFmtId="0" fontId="107" fillId="25" borderId="87" xfId="1" applyFont="1" applyFill="1" applyBorder="1" applyAlignment="1">
      <alignment horizontal="left" vertical="center"/>
    </xf>
    <xf numFmtId="0" fontId="127" fillId="19" borderId="0" xfId="15" applyFont="1" applyFill="1" applyBorder="1" applyAlignment="1">
      <alignment horizontal="left" vertical="center"/>
    </xf>
    <xf numFmtId="0" fontId="107" fillId="19" borderId="0" xfId="1" applyFont="1" applyFill="1" applyBorder="1" applyAlignment="1">
      <alignment horizontal="left" vertical="center"/>
    </xf>
    <xf numFmtId="0" fontId="127" fillId="22" borderId="8" xfId="15" applyFont="1" applyFill="1" applyBorder="1" applyAlignment="1">
      <alignment horizontal="left" vertical="center"/>
    </xf>
    <xf numFmtId="0" fontId="127" fillId="16" borderId="0" xfId="15" applyFont="1" applyFill="1" applyBorder="1" applyAlignment="1">
      <alignment horizontal="left" vertical="center"/>
    </xf>
    <xf numFmtId="0" fontId="23" fillId="34" borderId="8" xfId="15" applyFont="1" applyFill="1" applyBorder="1" applyAlignment="1">
      <alignment horizontal="left" vertical="center"/>
    </xf>
    <xf numFmtId="0" fontId="127" fillId="13" borderId="0" xfId="15" applyFont="1" applyFill="1" applyBorder="1" applyAlignment="1">
      <alignment horizontal="left" vertical="center"/>
    </xf>
    <xf numFmtId="0" fontId="127" fillId="22" borderId="87" xfId="15" applyFont="1" applyFill="1" applyBorder="1" applyAlignment="1">
      <alignment horizontal="left" vertical="center"/>
    </xf>
    <xf numFmtId="0" fontId="127" fillId="22" borderId="0" xfId="15" applyFont="1" applyFill="1" applyBorder="1" applyAlignment="1">
      <alignment horizontal="left" vertical="center"/>
    </xf>
    <xf numFmtId="0" fontId="127" fillId="19" borderId="8" xfId="15" applyFont="1" applyFill="1" applyBorder="1" applyAlignment="1">
      <alignment horizontal="left" vertical="center"/>
    </xf>
    <xf numFmtId="0" fontId="143" fillId="50" borderId="0" xfId="15" applyFont="1" applyFill="1" applyBorder="1" applyAlignment="1">
      <alignment horizontal="left" vertical="center"/>
    </xf>
    <xf numFmtId="0" fontId="143" fillId="50" borderId="8" xfId="15" applyFont="1" applyFill="1" applyBorder="1" applyAlignment="1">
      <alignment horizontal="left" vertical="center"/>
    </xf>
    <xf numFmtId="0" fontId="113" fillId="23" borderId="23" xfId="1" applyFont="1" applyFill="1" applyBorder="1" applyAlignment="1">
      <alignment horizontal="center" vertical="center"/>
    </xf>
    <xf numFmtId="0" fontId="23" fillId="0" borderId="74" xfId="15" applyFont="1" applyFill="1" applyBorder="1" applyAlignment="1">
      <alignment horizontal="left" vertical="center"/>
    </xf>
    <xf numFmtId="0" fontId="127" fillId="14" borderId="0" xfId="15" applyFont="1" applyFill="1" applyBorder="1" applyAlignment="1">
      <alignment horizontal="left" vertical="center"/>
    </xf>
    <xf numFmtId="0" fontId="53" fillId="12" borderId="8" xfId="1" applyFont="1" applyFill="1" applyBorder="1" applyAlignment="1">
      <alignment horizontal="left" vertical="center"/>
    </xf>
    <xf numFmtId="0" fontId="127" fillId="3" borderId="4" xfId="15" applyFont="1" applyFill="1" applyBorder="1" applyAlignment="1">
      <alignment horizontal="left" vertical="center"/>
    </xf>
    <xf numFmtId="0" fontId="116" fillId="6" borderId="113" xfId="1" applyFont="1" applyFill="1" applyBorder="1" applyAlignment="1">
      <alignment horizontal="center"/>
    </xf>
    <xf numFmtId="0" fontId="115" fillId="21" borderId="88" xfId="1" applyFont="1" applyFill="1" applyBorder="1" applyAlignment="1">
      <alignment horizontal="center"/>
    </xf>
    <xf numFmtId="3" fontId="53" fillId="21" borderId="26" xfId="1" applyNumberFormat="1" applyFont="1" applyFill="1" applyBorder="1" applyAlignment="1">
      <alignment horizontal="left" vertical="center"/>
    </xf>
    <xf numFmtId="0" fontId="2" fillId="34" borderId="73" xfId="1" applyFont="1" applyFill="1" applyBorder="1" applyAlignment="1">
      <alignment horizontal="center" vertical="center"/>
    </xf>
    <xf numFmtId="14" fontId="53" fillId="21" borderId="26" xfId="1" applyNumberFormat="1" applyFont="1" applyFill="1" applyBorder="1" applyAlignment="1">
      <alignment horizontal="center" vertical="center"/>
    </xf>
    <xf numFmtId="0" fontId="53" fillId="19" borderId="87" xfId="1" applyFont="1" applyFill="1" applyBorder="1" applyAlignment="1">
      <alignment horizontal="left" vertical="center"/>
    </xf>
    <xf numFmtId="0" fontId="23" fillId="3" borderId="4" xfId="15" applyFont="1" applyFill="1" applyBorder="1" applyAlignment="1">
      <alignment horizontal="left" vertical="center"/>
    </xf>
    <xf numFmtId="0" fontId="127" fillId="25" borderId="87" xfId="15" applyFont="1" applyFill="1" applyBorder="1" applyAlignment="1">
      <alignment horizontal="left" vertical="center"/>
    </xf>
    <xf numFmtId="3" fontId="53" fillId="49" borderId="26" xfId="1" applyNumberFormat="1" applyFont="1" applyFill="1" applyBorder="1" applyAlignment="1">
      <alignment horizontal="left" vertical="center"/>
    </xf>
    <xf numFmtId="3" fontId="108" fillId="19" borderId="73" xfId="1" applyNumberFormat="1" applyFont="1" applyFill="1" applyBorder="1" applyAlignment="1">
      <alignment horizontal="center" vertical="center"/>
    </xf>
    <xf numFmtId="3" fontId="53" fillId="49" borderId="26" xfId="1" applyNumberFormat="1" applyFont="1" applyFill="1" applyBorder="1" applyAlignment="1">
      <alignment horizontal="center" vertical="center"/>
    </xf>
    <xf numFmtId="0" fontId="108" fillId="15" borderId="26" xfId="1" applyFont="1" applyFill="1" applyBorder="1" applyAlignment="1">
      <alignment horizontal="center" vertical="center"/>
    </xf>
    <xf numFmtId="0" fontId="113" fillId="19" borderId="73" xfId="1" applyFont="1" applyFill="1" applyBorder="1" applyAlignment="1">
      <alignment horizontal="center" vertical="center"/>
    </xf>
    <xf numFmtId="0" fontId="108" fillId="19" borderId="73" xfId="1" applyFont="1" applyFill="1" applyBorder="1" applyAlignment="1">
      <alignment horizontal="center" vertical="center"/>
    </xf>
    <xf numFmtId="0" fontId="2" fillId="49" borderId="26" xfId="1" applyFont="1" applyFill="1" applyBorder="1" applyAlignment="1">
      <alignment horizontal="center" vertical="center"/>
    </xf>
    <xf numFmtId="14" fontId="53" fillId="49" borderId="26" xfId="1" applyNumberFormat="1" applyFont="1" applyFill="1" applyBorder="1" applyAlignment="1">
      <alignment horizontal="center" vertical="center"/>
    </xf>
    <xf numFmtId="0" fontId="115" fillId="22" borderId="111" xfId="1" applyFont="1" applyFill="1" applyBorder="1" applyAlignment="1">
      <alignment horizontal="center"/>
    </xf>
    <xf numFmtId="0" fontId="115" fillId="28" borderId="111" xfId="1" applyFont="1" applyFill="1" applyBorder="1" applyAlignment="1">
      <alignment horizontal="center" vertical="center"/>
    </xf>
    <xf numFmtId="3" fontId="108" fillId="22" borderId="82" xfId="1" applyNumberFormat="1" applyFont="1" applyFill="1" applyBorder="1" applyAlignment="1">
      <alignment horizontal="center" vertical="center"/>
    </xf>
    <xf numFmtId="0" fontId="54" fillId="0" borderId="7" xfId="1" applyFont="1" applyFill="1" applyBorder="1" applyAlignment="1">
      <alignment horizontal="left" vertical="center"/>
    </xf>
    <xf numFmtId="3" fontId="54" fillId="0" borderId="210" xfId="1" applyNumberFormat="1" applyFont="1" applyFill="1" applyBorder="1" applyAlignment="1">
      <alignment horizontal="center" vertical="center"/>
    </xf>
    <xf numFmtId="0" fontId="53" fillId="2" borderId="0" xfId="1" applyFont="1" applyFill="1" applyBorder="1" applyAlignment="1">
      <alignment horizontal="left" vertical="center"/>
    </xf>
    <xf numFmtId="0" fontId="23" fillId="46" borderId="8" xfId="15" applyFont="1" applyFill="1" applyBorder="1" applyAlignment="1">
      <alignment horizontal="left" vertical="center"/>
    </xf>
    <xf numFmtId="3" fontId="53" fillId="8" borderId="73" xfId="1" applyNumberFormat="1" applyFont="1" applyFill="1" applyBorder="1" applyAlignment="1">
      <alignment horizontal="left" vertical="center"/>
    </xf>
    <xf numFmtId="3" fontId="53" fillId="8" borderId="73" xfId="1" applyNumberFormat="1" applyFont="1" applyFill="1" applyBorder="1" applyAlignment="1">
      <alignment horizontal="center" vertical="center"/>
    </xf>
    <xf numFmtId="14" fontId="53" fillId="8" borderId="73" xfId="1" applyNumberFormat="1" applyFont="1" applyFill="1" applyBorder="1" applyAlignment="1">
      <alignment horizontal="center" vertical="center"/>
    </xf>
    <xf numFmtId="0" fontId="2" fillId="0" borderId="0" xfId="1" applyAlignment="1"/>
    <xf numFmtId="0" fontId="23" fillId="40" borderId="0" xfId="15" applyFont="1" applyFill="1" applyBorder="1" applyAlignment="1">
      <alignment horizontal="left" vertical="center"/>
    </xf>
    <xf numFmtId="3" fontId="54" fillId="0" borderId="214" xfId="1" applyNumberFormat="1" applyFont="1" applyFill="1" applyBorder="1" applyAlignment="1">
      <alignment horizontal="center" vertical="center"/>
    </xf>
    <xf numFmtId="3" fontId="3" fillId="0" borderId="25" xfId="1" applyNumberFormat="1" applyFont="1" applyFill="1" applyBorder="1" applyAlignment="1">
      <alignment horizontal="center" vertical="center" wrapText="1"/>
    </xf>
    <xf numFmtId="3" fontId="55" fillId="0" borderId="3" xfId="1" applyNumberFormat="1" applyFont="1" applyFill="1" applyBorder="1" applyAlignment="1">
      <alignment horizontal="center" vertical="center"/>
    </xf>
    <xf numFmtId="3" fontId="3" fillId="0" borderId="41" xfId="1" applyNumberFormat="1" applyFont="1" applyFill="1" applyBorder="1" applyAlignment="1">
      <alignment horizontal="left" vertical="center"/>
    </xf>
    <xf numFmtId="3" fontId="55" fillId="0" borderId="19" xfId="1" applyNumberFormat="1" applyFont="1" applyFill="1" applyBorder="1" applyAlignment="1">
      <alignment horizontal="center" vertical="center"/>
    </xf>
    <xf numFmtId="0" fontId="65" fillId="4" borderId="5" xfId="1" applyFont="1" applyFill="1" applyBorder="1" applyAlignment="1">
      <alignment horizontal="left" vertical="center"/>
    </xf>
    <xf numFmtId="3" fontId="3" fillId="4" borderId="6" xfId="1" applyNumberFormat="1" applyFont="1" applyFill="1" applyBorder="1" applyAlignment="1">
      <alignment horizontal="center" vertical="center"/>
    </xf>
    <xf numFmtId="3" fontId="65" fillId="0" borderId="6" xfId="1" applyNumberFormat="1" applyFont="1" applyFill="1" applyBorder="1" applyAlignment="1">
      <alignment horizontal="center" vertical="center"/>
    </xf>
    <xf numFmtId="3" fontId="65" fillId="0" borderId="209" xfId="1" applyNumberFormat="1" applyFont="1" applyFill="1" applyBorder="1" applyAlignment="1">
      <alignment horizontal="center" vertical="center"/>
    </xf>
    <xf numFmtId="0" fontId="54" fillId="0" borderId="101" xfId="1" applyFont="1" applyFill="1" applyBorder="1" applyAlignment="1">
      <alignment horizontal="left" vertical="center"/>
    </xf>
    <xf numFmtId="3" fontId="54" fillId="0" borderId="94" xfId="1" applyNumberFormat="1" applyFont="1" applyFill="1" applyBorder="1" applyAlignment="1">
      <alignment horizontal="center" vertical="center"/>
    </xf>
    <xf numFmtId="3" fontId="54" fillId="0" borderId="213" xfId="1" applyNumberFormat="1" applyFont="1" applyFill="1" applyBorder="1" applyAlignment="1">
      <alignment horizontal="center" vertical="center"/>
    </xf>
    <xf numFmtId="3" fontId="65" fillId="0" borderId="94" xfId="1" applyNumberFormat="1" applyFont="1" applyFill="1" applyBorder="1" applyAlignment="1">
      <alignment horizontal="center" vertical="center"/>
    </xf>
    <xf numFmtId="0" fontId="54" fillId="0" borderId="186" xfId="1" applyFont="1" applyFill="1" applyBorder="1" applyAlignment="1">
      <alignment horizontal="left" vertical="center"/>
    </xf>
    <xf numFmtId="3" fontId="65" fillId="0" borderId="1" xfId="1" applyNumberFormat="1" applyFont="1" applyFill="1" applyBorder="1" applyAlignment="1">
      <alignment horizontal="center" vertical="center"/>
    </xf>
    <xf numFmtId="0" fontId="54" fillId="0" borderId="5" xfId="1" applyFont="1" applyFill="1" applyBorder="1" applyAlignment="1">
      <alignment vertical="center"/>
    </xf>
    <xf numFmtId="0" fontId="54" fillId="2" borderId="92" xfId="1" applyFont="1" applyFill="1" applyBorder="1" applyAlignment="1">
      <alignment horizontal="left" vertical="center"/>
    </xf>
    <xf numFmtId="0" fontId="54" fillId="0" borderId="92" xfId="1" applyFont="1" applyFill="1" applyBorder="1" applyAlignment="1">
      <alignment horizontal="left" vertical="center"/>
    </xf>
    <xf numFmtId="3" fontId="3" fillId="0" borderId="19" xfId="1" applyNumberFormat="1" applyFont="1" applyFill="1" applyBorder="1" applyAlignment="1">
      <alignment horizontal="left" vertical="center"/>
    </xf>
    <xf numFmtId="3" fontId="3" fillId="0" borderId="6" xfId="1" applyNumberFormat="1" applyFont="1" applyFill="1" applyBorder="1" applyAlignment="1">
      <alignment horizontal="center" vertical="center" wrapText="1"/>
    </xf>
    <xf numFmtId="169" fontId="54" fillId="0" borderId="43" xfId="1" applyNumberFormat="1" applyFont="1" applyFill="1" applyBorder="1" applyAlignment="1">
      <alignment horizontal="right" vertical="center"/>
    </xf>
    <xf numFmtId="0" fontId="122" fillId="4" borderId="6" xfId="1" applyFont="1" applyFill="1" applyBorder="1" applyAlignment="1">
      <alignment horizontal="center" vertical="center"/>
    </xf>
    <xf numFmtId="169" fontId="54" fillId="0" borderId="44" xfId="1" applyNumberFormat="1" applyFont="1" applyFill="1" applyBorder="1" applyAlignment="1">
      <alignment horizontal="right" vertical="center"/>
    </xf>
    <xf numFmtId="0" fontId="54" fillId="0" borderId="40" xfId="1" applyFont="1" applyFill="1" applyBorder="1" applyAlignment="1">
      <alignment vertical="center"/>
    </xf>
    <xf numFmtId="0" fontId="122" fillId="0" borderId="40" xfId="1" applyFont="1" applyFill="1" applyBorder="1" applyAlignment="1">
      <alignment horizontal="center" vertical="center"/>
    </xf>
    <xf numFmtId="169" fontId="54" fillId="0" borderId="212" xfId="1" applyNumberFormat="1" applyFont="1" applyFill="1" applyBorder="1" applyAlignment="1">
      <alignment horizontal="right" vertical="center"/>
    </xf>
    <xf numFmtId="0" fontId="65" fillId="0" borderId="40" xfId="1" applyFont="1" applyFill="1" applyBorder="1" applyAlignment="1">
      <alignment horizontal="left" vertical="center"/>
    </xf>
    <xf numFmtId="169" fontId="54" fillId="0" borderId="97" xfId="1" applyNumberFormat="1" applyFont="1" applyFill="1" applyBorder="1" applyAlignment="1">
      <alignment horizontal="right" vertical="center"/>
    </xf>
    <xf numFmtId="3" fontId="54" fillId="0" borderId="6" xfId="1" applyNumberFormat="1" applyFont="1" applyFill="1" applyBorder="1" applyAlignment="1">
      <alignment horizontal="left" vertical="center"/>
    </xf>
    <xf numFmtId="169" fontId="54" fillId="0" borderId="216" xfId="1" applyNumberFormat="1" applyFont="1" applyFill="1" applyBorder="1" applyAlignment="1">
      <alignment horizontal="right" vertical="center"/>
    </xf>
    <xf numFmtId="0" fontId="122" fillId="0" borderId="6" xfId="1" applyFont="1" applyFill="1" applyBorder="1" applyAlignment="1">
      <alignment horizontal="center" vertical="center"/>
    </xf>
    <xf numFmtId="0" fontId="122" fillId="0" borderId="94" xfId="1" applyFont="1" applyFill="1" applyBorder="1" applyAlignment="1">
      <alignment horizontal="center" vertical="center"/>
    </xf>
    <xf numFmtId="3" fontId="54" fillId="0" borderId="94" xfId="1" applyNumberFormat="1" applyFont="1" applyFill="1" applyBorder="1" applyAlignment="1">
      <alignment horizontal="left" vertical="center"/>
    </xf>
    <xf numFmtId="0" fontId="54" fillId="0" borderId="19" xfId="1" applyFont="1" applyFill="1" applyBorder="1" applyAlignment="1">
      <alignment vertical="center"/>
    </xf>
    <xf numFmtId="0" fontId="54" fillId="0" borderId="6" xfId="1" applyFont="1" applyFill="1" applyBorder="1" applyAlignment="1">
      <alignment horizontal="left" vertical="center"/>
    </xf>
    <xf numFmtId="0" fontId="54" fillId="0" borderId="6" xfId="1" applyFont="1" applyFill="1" applyBorder="1" applyAlignment="1">
      <alignment vertical="center"/>
    </xf>
    <xf numFmtId="0" fontId="122" fillId="0" borderId="19" xfId="1" applyFont="1" applyFill="1" applyBorder="1" applyAlignment="1">
      <alignment horizontal="center" vertical="center"/>
    </xf>
    <xf numFmtId="169" fontId="54" fillId="0" borderId="99" xfId="1" applyNumberFormat="1" applyFont="1" applyFill="1" applyBorder="1" applyAlignment="1">
      <alignment horizontal="right" vertical="center"/>
    </xf>
    <xf numFmtId="0" fontId="54" fillId="0" borderId="19" xfId="1" applyFont="1" applyFill="1" applyBorder="1" applyAlignment="1">
      <alignment horizontal="left" vertical="center"/>
    </xf>
    <xf numFmtId="169" fontId="54" fillId="0" borderId="107" xfId="1" applyNumberFormat="1" applyFont="1" applyFill="1" applyBorder="1" applyAlignment="1">
      <alignment horizontal="right" vertical="center"/>
    </xf>
    <xf numFmtId="0" fontId="55" fillId="0" borderId="5" xfId="1" applyFont="1" applyFill="1" applyBorder="1" applyAlignment="1">
      <alignment horizontal="left" vertical="center"/>
    </xf>
    <xf numFmtId="3" fontId="3" fillId="0" borderId="5" xfId="1" applyNumberFormat="1" applyFont="1" applyFill="1" applyBorder="1" applyAlignment="1">
      <alignment horizontal="left" vertical="center"/>
    </xf>
    <xf numFmtId="0" fontId="3" fillId="0" borderId="5" xfId="1" applyFont="1" applyFill="1" applyBorder="1" applyAlignment="1">
      <alignment vertical="center"/>
    </xf>
    <xf numFmtId="3" fontId="55" fillId="4" borderId="6" xfId="1" applyNumberFormat="1" applyFont="1" applyFill="1" applyBorder="1" applyAlignment="1">
      <alignment horizontal="center" vertical="center"/>
    </xf>
    <xf numFmtId="0" fontId="146" fillId="5" borderId="5" xfId="1" applyFont="1" applyFill="1" applyBorder="1" applyAlignment="1">
      <alignment horizontal="left" vertical="center"/>
    </xf>
    <xf numFmtId="0" fontId="54" fillId="0" borderId="50" xfId="1" applyFont="1" applyFill="1" applyBorder="1" applyAlignment="1">
      <alignment horizontal="left" vertical="center"/>
    </xf>
    <xf numFmtId="3" fontId="54" fillId="0" borderId="209" xfId="1" applyNumberFormat="1" applyFont="1" applyFill="1" applyBorder="1" applyAlignment="1">
      <alignment horizontal="center" vertical="center"/>
    </xf>
    <xf numFmtId="3" fontId="65" fillId="0" borderId="213" xfId="1" applyNumberFormat="1" applyFont="1" applyFill="1" applyBorder="1" applyAlignment="1">
      <alignment horizontal="center" vertical="center"/>
    </xf>
    <xf numFmtId="0" fontId="146" fillId="2" borderId="5" xfId="1" applyFont="1" applyFill="1" applyBorder="1" applyAlignment="1">
      <alignment horizontal="left" vertical="center"/>
    </xf>
    <xf numFmtId="3" fontId="65" fillId="0" borderId="59" xfId="1" applyNumberFormat="1" applyFont="1" applyFill="1" applyBorder="1" applyAlignment="1">
      <alignment horizontal="center" vertical="center"/>
    </xf>
    <xf numFmtId="0" fontId="54" fillId="0" borderId="92" xfId="1" applyFont="1" applyFill="1" applyBorder="1" applyAlignment="1">
      <alignment vertical="center"/>
    </xf>
    <xf numFmtId="0" fontId="54" fillId="2" borderId="186" xfId="1" applyFont="1" applyFill="1" applyBorder="1" applyAlignment="1">
      <alignment vertical="center"/>
    </xf>
    <xf numFmtId="0" fontId="54" fillId="5" borderId="186" xfId="1" applyFont="1" applyFill="1" applyBorder="1" applyAlignment="1">
      <alignment vertical="center"/>
    </xf>
    <xf numFmtId="3" fontId="147" fillId="0" borderId="6" xfId="1" applyNumberFormat="1" applyFont="1" applyFill="1" applyBorder="1" applyAlignment="1">
      <alignment horizontal="center" vertical="center"/>
    </xf>
    <xf numFmtId="0" fontId="81" fillId="0" borderId="0" xfId="1" applyFont="1" applyFill="1" applyBorder="1" applyAlignment="1">
      <alignment horizontal="left" vertical="center"/>
    </xf>
    <xf numFmtId="3" fontId="148" fillId="0" borderId="0" xfId="1" applyNumberFormat="1" applyFont="1" applyFill="1" applyBorder="1" applyAlignment="1">
      <alignment horizontal="center" vertical="center"/>
    </xf>
    <xf numFmtId="0" fontId="150" fillId="0" borderId="0" xfId="1" applyFont="1" applyFill="1" applyBorder="1" applyAlignment="1">
      <alignment horizontal="left" vertical="center"/>
    </xf>
    <xf numFmtId="0" fontId="150" fillId="0" borderId="52" xfId="1" applyFont="1" applyFill="1" applyBorder="1" applyAlignment="1">
      <alignment horizontal="left" vertical="center"/>
    </xf>
    <xf numFmtId="0" fontId="55" fillId="0" borderId="7" xfId="1" applyFont="1" applyFill="1" applyBorder="1" applyAlignment="1">
      <alignment horizontal="left" vertical="center"/>
    </xf>
    <xf numFmtId="0" fontId="55" fillId="0" borderId="92" xfId="1" applyFont="1" applyFill="1" applyBorder="1" applyAlignment="1">
      <alignment horizontal="left" vertical="center"/>
    </xf>
    <xf numFmtId="0" fontId="151" fillId="0" borderId="103" xfId="1" applyFont="1" applyFill="1" applyBorder="1" applyAlignment="1">
      <alignment horizontal="left" vertical="center"/>
    </xf>
    <xf numFmtId="0" fontId="151" fillId="0" borderId="50" xfId="1" applyFont="1" applyFill="1" applyBorder="1" applyAlignment="1">
      <alignment horizontal="left" vertical="center"/>
    </xf>
    <xf numFmtId="0" fontId="151" fillId="0" borderId="5" xfId="1" applyFont="1" applyFill="1" applyBorder="1" applyAlignment="1">
      <alignment horizontal="left" vertical="center"/>
    </xf>
    <xf numFmtId="0" fontId="54" fillId="2" borderId="101" xfId="1" applyFont="1" applyFill="1" applyBorder="1" applyAlignment="1">
      <alignment horizontal="left" vertical="center"/>
    </xf>
    <xf numFmtId="0" fontId="54" fillId="0" borderId="208" xfId="1" applyFont="1" applyFill="1" applyBorder="1" applyAlignment="1">
      <alignment horizontal="left" vertical="center"/>
    </xf>
    <xf numFmtId="0" fontId="54" fillId="0" borderId="103" xfId="1" applyFont="1" applyFill="1" applyBorder="1" applyAlignment="1">
      <alignment horizontal="left" vertical="center"/>
    </xf>
    <xf numFmtId="0" fontId="146" fillId="0" borderId="5" xfId="1" applyFont="1" applyFill="1" applyBorder="1" applyAlignment="1">
      <alignment horizontal="left" vertical="center"/>
    </xf>
    <xf numFmtId="0" fontId="146" fillId="0" borderId="92" xfId="1" applyFont="1" applyFill="1" applyBorder="1" applyAlignment="1">
      <alignment horizontal="left" vertical="center"/>
    </xf>
    <xf numFmtId="0" fontId="54" fillId="2" borderId="5" xfId="1" applyFont="1" applyFill="1" applyBorder="1" applyAlignment="1">
      <alignment horizontal="left" vertical="center"/>
    </xf>
    <xf numFmtId="3" fontId="147" fillId="0" borderId="94" xfId="1" applyNumberFormat="1" applyFont="1" applyFill="1" applyBorder="1" applyAlignment="1">
      <alignment horizontal="center" vertical="center"/>
    </xf>
    <xf numFmtId="0" fontId="146" fillId="2" borderId="92" xfId="1" applyFont="1" applyFill="1" applyBorder="1" applyAlignment="1">
      <alignment horizontal="left" vertical="center"/>
    </xf>
    <xf numFmtId="0" fontId="54" fillId="2" borderId="124" xfId="1" applyFont="1" applyFill="1" applyBorder="1" applyAlignment="1">
      <alignment horizontal="left" vertical="center"/>
    </xf>
    <xf numFmtId="0" fontId="151" fillId="0" borderId="124" xfId="1" applyFont="1" applyFill="1" applyBorder="1" applyAlignment="1">
      <alignment horizontal="left" vertical="center"/>
    </xf>
    <xf numFmtId="3" fontId="147" fillId="0" borderId="123" xfId="1" applyNumberFormat="1" applyFont="1" applyFill="1" applyBorder="1" applyAlignment="1">
      <alignment horizontal="center" vertical="center"/>
    </xf>
    <xf numFmtId="0" fontId="54" fillId="0" borderId="42" xfId="1" applyFont="1" applyFill="1" applyBorder="1" applyAlignment="1">
      <alignment horizontal="left" vertical="center"/>
    </xf>
    <xf numFmtId="0" fontId="146" fillId="4" borderId="50" xfId="1" applyFont="1" applyFill="1" applyBorder="1" applyAlignment="1">
      <alignment horizontal="left" vertical="center"/>
    </xf>
    <xf numFmtId="3" fontId="3" fillId="4" borderId="59" xfId="1" applyNumberFormat="1" applyFont="1" applyFill="1" applyBorder="1" applyAlignment="1">
      <alignment horizontal="center" vertical="center"/>
    </xf>
    <xf numFmtId="0" fontId="54" fillId="2" borderId="186" xfId="1" applyFont="1" applyFill="1" applyBorder="1" applyAlignment="1">
      <alignment horizontal="left" vertical="center"/>
    </xf>
    <xf numFmtId="3" fontId="55" fillId="4" borderId="1" xfId="1" applyNumberFormat="1" applyFont="1" applyFill="1" applyBorder="1" applyAlignment="1">
      <alignment horizontal="center" vertical="center"/>
    </xf>
    <xf numFmtId="0" fontId="54" fillId="2" borderId="208" xfId="1" applyFont="1" applyFill="1" applyBorder="1" applyAlignment="1">
      <alignment horizontal="left" vertical="center"/>
    </xf>
    <xf numFmtId="3" fontId="54" fillId="0" borderId="0" xfId="1" applyNumberFormat="1" applyFont="1" applyFill="1" applyBorder="1" applyAlignment="1">
      <alignment horizontal="left" vertical="center"/>
    </xf>
    <xf numFmtId="0" fontId="3" fillId="0" borderId="186" xfId="1" applyFont="1" applyFill="1" applyBorder="1" applyAlignment="1">
      <alignment vertical="center"/>
    </xf>
    <xf numFmtId="3" fontId="3" fillId="4" borderId="181" xfId="1" applyNumberFormat="1" applyFont="1" applyFill="1" applyBorder="1" applyAlignment="1">
      <alignment horizontal="center" vertical="center"/>
    </xf>
    <xf numFmtId="3" fontId="54" fillId="0" borderId="181" xfId="1" applyNumberFormat="1" applyFont="1" applyFill="1" applyBorder="1" applyAlignment="1">
      <alignment horizontal="center" vertical="center"/>
    </xf>
    <xf numFmtId="3" fontId="54" fillId="0" borderId="122" xfId="1" applyNumberFormat="1" applyFont="1" applyFill="1" applyBorder="1" applyAlignment="1">
      <alignment horizontal="center" vertical="center"/>
    </xf>
    <xf numFmtId="3" fontId="54" fillId="0" borderId="100" xfId="1" applyNumberFormat="1" applyFont="1" applyFill="1" applyBorder="1" applyAlignment="1">
      <alignment horizontal="center" vertical="center"/>
    </xf>
    <xf numFmtId="3" fontId="54" fillId="0" borderId="215" xfId="1" applyNumberFormat="1" applyFont="1" applyFill="1" applyBorder="1" applyAlignment="1">
      <alignment horizontal="center" vertical="center"/>
    </xf>
    <xf numFmtId="3" fontId="54" fillId="0" borderId="180" xfId="1" applyNumberFormat="1" applyFont="1" applyFill="1" applyBorder="1" applyAlignment="1">
      <alignment horizontal="center" vertical="center"/>
    </xf>
    <xf numFmtId="3" fontId="54" fillId="0" borderId="211" xfId="1" applyNumberFormat="1" applyFont="1" applyFill="1" applyBorder="1" applyAlignment="1">
      <alignment horizontal="center" vertical="center"/>
    </xf>
    <xf numFmtId="3" fontId="65" fillId="0" borderId="181" xfId="1" applyNumberFormat="1" applyFont="1" applyFill="1" applyBorder="1" applyAlignment="1">
      <alignment horizontal="center" vertical="center"/>
    </xf>
    <xf numFmtId="0" fontId="54" fillId="2" borderId="42" xfId="1" applyFont="1" applyFill="1" applyBorder="1" applyAlignment="1">
      <alignment horizontal="left" vertical="center"/>
    </xf>
    <xf numFmtId="3" fontId="54" fillId="0" borderId="99" xfId="1" applyNumberFormat="1" applyFont="1" applyFill="1" applyBorder="1" applyAlignment="1">
      <alignment horizontal="center" vertical="center"/>
    </xf>
    <xf numFmtId="3" fontId="147" fillId="0" borderId="0" xfId="1" applyNumberFormat="1" applyFont="1" applyFill="1" applyBorder="1" applyAlignment="1">
      <alignment horizontal="center" vertical="center"/>
    </xf>
    <xf numFmtId="0" fontId="54" fillId="0" borderId="93" xfId="1" applyFont="1" applyFill="1" applyBorder="1" applyAlignment="1">
      <alignment vertical="center"/>
    </xf>
    <xf numFmtId="3" fontId="147" fillId="0" borderId="93" xfId="1" applyNumberFormat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/>
    </xf>
    <xf numFmtId="3" fontId="3" fillId="32" borderId="1" xfId="1" applyNumberFormat="1" applyFont="1" applyFill="1" applyBorder="1" applyAlignment="1">
      <alignment horizontal="center" vertical="center"/>
    </xf>
    <xf numFmtId="3" fontId="54" fillId="2" borderId="5" xfId="1" applyNumberFormat="1" applyFont="1" applyFill="1" applyBorder="1" applyAlignment="1">
      <alignment horizontal="left" vertical="center"/>
    </xf>
    <xf numFmtId="0" fontId="146" fillId="0" borderId="103" xfId="1" applyFont="1" applyFill="1" applyBorder="1" applyAlignment="1">
      <alignment vertical="center"/>
    </xf>
    <xf numFmtId="0" fontId="146" fillId="0" borderId="0" xfId="1" applyFont="1" applyFill="1" applyBorder="1" applyAlignment="1">
      <alignment vertical="center"/>
    </xf>
    <xf numFmtId="0" fontId="54" fillId="0" borderId="0" xfId="1" applyFont="1" applyFill="1" applyAlignment="1">
      <alignment vertical="center"/>
    </xf>
    <xf numFmtId="0" fontId="3" fillId="0" borderId="45" xfId="1" applyFont="1" applyFill="1" applyBorder="1" applyAlignment="1">
      <alignment horizontal="center" vertical="center"/>
    </xf>
    <xf numFmtId="3" fontId="3" fillId="0" borderId="20" xfId="1" applyNumberFormat="1" applyFont="1" applyFill="1" applyBorder="1" applyAlignment="1">
      <alignment horizontal="left" vertical="center"/>
    </xf>
    <xf numFmtId="3" fontId="54" fillId="4" borderId="6" xfId="1" applyNumberFormat="1" applyFont="1" applyFill="1" applyBorder="1" applyAlignment="1">
      <alignment horizontal="center" vertical="center"/>
    </xf>
    <xf numFmtId="0" fontId="65" fillId="38" borderId="5" xfId="1" applyFont="1" applyFill="1" applyBorder="1" applyAlignment="1">
      <alignment horizontal="left" vertical="center"/>
    </xf>
    <xf numFmtId="3" fontId="147" fillId="0" borderId="1" xfId="1" applyNumberFormat="1" applyFont="1" applyFill="1" applyBorder="1" applyAlignment="1">
      <alignment horizontal="center" vertical="center"/>
    </xf>
    <xf numFmtId="3" fontId="54" fillId="0" borderId="43" xfId="1" applyNumberFormat="1" applyFont="1" applyFill="1" applyBorder="1" applyAlignment="1">
      <alignment horizontal="center" vertical="center"/>
    </xf>
    <xf numFmtId="3" fontId="3" fillId="0" borderId="0" xfId="1" applyNumberFormat="1" applyFont="1" applyFill="1" applyBorder="1" applyAlignment="1">
      <alignment horizontal="center" vertical="center" wrapText="1"/>
    </xf>
    <xf numFmtId="0" fontId="145" fillId="0" borderId="0" xfId="15" applyFont="1" applyFill="1" applyBorder="1" applyAlignment="1">
      <alignment horizontal="left" vertical="center"/>
    </xf>
    <xf numFmtId="0" fontId="153" fillId="0" borderId="0" xfId="1" applyFont="1" applyFill="1" applyBorder="1" applyAlignment="1">
      <alignment horizontal="left" vertical="center"/>
    </xf>
    <xf numFmtId="167" fontId="65" fillId="0" borderId="0" xfId="1" applyNumberFormat="1" applyFont="1" applyFill="1" applyBorder="1" applyAlignment="1">
      <alignment horizontal="left" vertical="center"/>
    </xf>
    <xf numFmtId="0" fontId="154" fillId="0" borderId="0" xfId="1" applyFont="1" applyFill="1" applyBorder="1" applyAlignment="1">
      <alignment horizontal="left" vertical="center"/>
    </xf>
    <xf numFmtId="0" fontId="154" fillId="0" borderId="4" xfId="1" applyFont="1" applyFill="1" applyBorder="1" applyAlignment="1">
      <alignment horizontal="left" vertical="center"/>
    </xf>
    <xf numFmtId="167" fontId="54" fillId="0" borderId="0" xfId="1" applyNumberFormat="1" applyFont="1" applyFill="1" applyAlignment="1">
      <alignment vertical="center"/>
    </xf>
    <xf numFmtId="0" fontId="54" fillId="0" borderId="0" xfId="1" applyFont="1"/>
    <xf numFmtId="0" fontId="55" fillId="0" borderId="40" xfId="1" applyFont="1" applyFill="1" applyBorder="1" applyAlignment="1">
      <alignment horizontal="left" vertical="center"/>
    </xf>
    <xf numFmtId="169" fontId="65" fillId="0" borderId="9" xfId="1" applyNumberFormat="1" applyFont="1" applyFill="1" applyBorder="1" applyAlignment="1">
      <alignment horizontal="right" vertical="center"/>
    </xf>
    <xf numFmtId="3" fontId="3" fillId="0" borderId="4" xfId="1" applyNumberFormat="1" applyFont="1" applyFill="1" applyBorder="1" applyAlignment="1">
      <alignment horizontal="left" vertical="center"/>
    </xf>
    <xf numFmtId="3" fontId="3" fillId="0" borderId="53" xfId="1" applyNumberFormat="1" applyFont="1" applyFill="1" applyBorder="1" applyAlignment="1">
      <alignment horizontal="left" vertical="center"/>
    </xf>
    <xf numFmtId="0" fontId="3" fillId="0" borderId="40" xfId="1" applyFont="1" applyFill="1" applyBorder="1" applyAlignment="1">
      <alignment vertical="center"/>
    </xf>
    <xf numFmtId="0" fontId="122" fillId="4" borderId="51" xfId="1" applyFont="1" applyFill="1" applyBorder="1" applyAlignment="1">
      <alignment horizontal="center" vertical="center"/>
    </xf>
    <xf numFmtId="169" fontId="54" fillId="4" borderId="48" xfId="1" applyNumberFormat="1" applyFont="1" applyFill="1" applyBorder="1" applyAlignment="1">
      <alignment horizontal="right" vertical="center"/>
    </xf>
    <xf numFmtId="167" fontId="55" fillId="0" borderId="1" xfId="1" applyNumberFormat="1" applyFont="1" applyFill="1" applyBorder="1" applyAlignment="1">
      <alignment horizontal="center" vertical="center"/>
    </xf>
    <xf numFmtId="0" fontId="146" fillId="4" borderId="51" xfId="1" applyFont="1" applyFill="1" applyBorder="1" applyAlignment="1">
      <alignment horizontal="left" vertical="center"/>
    </xf>
    <xf numFmtId="169" fontId="146" fillId="4" borderId="48" xfId="1" applyNumberFormat="1" applyFont="1" applyFill="1" applyBorder="1" applyAlignment="1">
      <alignment horizontal="right" vertical="center"/>
    </xf>
    <xf numFmtId="3" fontId="54" fillId="4" borderId="40" xfId="1" applyNumberFormat="1" applyFont="1" applyFill="1" applyBorder="1" applyAlignment="1">
      <alignment horizontal="left" vertical="center"/>
    </xf>
    <xf numFmtId="167" fontId="3" fillId="0" borderId="1" xfId="1" applyNumberFormat="1" applyFont="1" applyFill="1" applyBorder="1" applyAlignment="1">
      <alignment horizontal="center" vertical="center"/>
    </xf>
    <xf numFmtId="169" fontId="65" fillId="0" borderId="48" xfId="1" applyNumberFormat="1" applyFont="1" applyFill="1" applyBorder="1" applyAlignment="1">
      <alignment horizontal="right" vertical="center"/>
    </xf>
    <xf numFmtId="169" fontId="54" fillId="0" borderId="48" xfId="1" applyNumberFormat="1" applyFont="1" applyFill="1" applyBorder="1" applyAlignment="1">
      <alignment horizontal="right" vertical="center"/>
    </xf>
    <xf numFmtId="3" fontId="146" fillId="0" borderId="96" xfId="1" applyNumberFormat="1" applyFont="1" applyFill="1" applyBorder="1" applyAlignment="1">
      <alignment horizontal="left" vertical="center"/>
    </xf>
    <xf numFmtId="0" fontId="155" fillId="0" borderId="40" xfId="1" applyFont="1" applyFill="1" applyBorder="1" applyAlignment="1">
      <alignment horizontal="left" vertical="center"/>
    </xf>
    <xf numFmtId="0" fontId="146" fillId="0" borderId="40" xfId="1" applyFont="1" applyFill="1" applyBorder="1" applyAlignment="1">
      <alignment vertical="center"/>
    </xf>
    <xf numFmtId="0" fontId="154" fillId="0" borderId="40" xfId="1" applyFont="1" applyFill="1" applyBorder="1" applyAlignment="1">
      <alignment horizontal="left" vertical="center"/>
    </xf>
    <xf numFmtId="0" fontId="65" fillId="0" borderId="6" xfId="1" applyFont="1" applyFill="1" applyBorder="1" applyAlignment="1">
      <alignment horizontal="left" vertical="center"/>
    </xf>
    <xf numFmtId="3" fontId="54" fillId="0" borderId="40" xfId="1" applyNumberFormat="1" applyFont="1" applyFill="1" applyBorder="1" applyAlignment="1">
      <alignment horizontal="left" vertical="center"/>
    </xf>
    <xf numFmtId="169" fontId="146" fillId="0" borderId="48" xfId="1" applyNumberFormat="1" applyFont="1" applyFill="1" applyBorder="1" applyAlignment="1">
      <alignment horizontal="right" vertical="center"/>
    </xf>
    <xf numFmtId="0" fontId="54" fillId="0" borderId="40" xfId="1" applyFont="1" applyFill="1" applyBorder="1" applyAlignment="1">
      <alignment horizontal="left" vertical="center"/>
    </xf>
    <xf numFmtId="169" fontId="54" fillId="0" borderId="198" xfId="1" applyNumberFormat="1" applyFont="1" applyFill="1" applyBorder="1" applyAlignment="1">
      <alignment horizontal="right" vertical="center"/>
    </xf>
    <xf numFmtId="169" fontId="65" fillId="0" borderId="198" xfId="1" applyNumberFormat="1" applyFont="1" applyFill="1" applyBorder="1" applyAlignment="1">
      <alignment horizontal="right" vertical="center"/>
    </xf>
    <xf numFmtId="0" fontId="122" fillId="0" borderId="96" xfId="1" applyFont="1" applyFill="1" applyBorder="1" applyAlignment="1">
      <alignment horizontal="center" vertical="center"/>
    </xf>
    <xf numFmtId="167" fontId="55" fillId="0" borderId="95" xfId="1" applyNumberFormat="1" applyFont="1" applyFill="1" applyBorder="1" applyAlignment="1">
      <alignment horizontal="center" vertical="center"/>
    </xf>
    <xf numFmtId="0" fontId="65" fillId="0" borderId="96" xfId="1" applyFont="1" applyFill="1" applyBorder="1" applyAlignment="1">
      <alignment horizontal="left" vertical="center"/>
    </xf>
    <xf numFmtId="0" fontId="147" fillId="0" borderId="40" xfId="1" applyFont="1" applyFill="1" applyBorder="1" applyAlignment="1">
      <alignment horizontal="center" vertical="center"/>
    </xf>
    <xf numFmtId="0" fontId="147" fillId="0" borderId="40" xfId="1" applyFont="1" applyFill="1" applyBorder="1" applyAlignment="1">
      <alignment vertical="center"/>
    </xf>
    <xf numFmtId="0" fontId="122" fillId="0" borderId="0" xfId="1" applyFont="1" applyFill="1" applyBorder="1" applyAlignment="1">
      <alignment horizontal="center" vertical="center"/>
    </xf>
    <xf numFmtId="0" fontId="122" fillId="0" borderId="51" xfId="1" applyFont="1" applyFill="1" applyBorder="1" applyAlignment="1">
      <alignment horizontal="center" vertical="center"/>
    </xf>
    <xf numFmtId="169" fontId="65" fillId="0" borderId="44" xfId="1" applyNumberFormat="1" applyFont="1" applyFill="1" applyBorder="1" applyAlignment="1">
      <alignment horizontal="right" vertical="center"/>
    </xf>
    <xf numFmtId="0" fontId="122" fillId="0" borderId="105" xfId="1" applyFont="1" applyFill="1" applyBorder="1" applyAlignment="1">
      <alignment horizontal="center" vertical="center"/>
    </xf>
    <xf numFmtId="169" fontId="157" fillId="0" borderId="48" xfId="1" applyNumberFormat="1" applyFont="1" applyFill="1" applyBorder="1" applyAlignment="1">
      <alignment horizontal="right" vertical="center"/>
    </xf>
    <xf numFmtId="169" fontId="122" fillId="0" borderId="48" xfId="1" applyNumberFormat="1" applyFont="1" applyFill="1" applyBorder="1" applyAlignment="1">
      <alignment horizontal="right" vertical="center"/>
    </xf>
    <xf numFmtId="0" fontId="146" fillId="0" borderId="51" xfId="1" applyFont="1" applyFill="1" applyBorder="1" applyAlignment="1">
      <alignment vertical="center"/>
    </xf>
    <xf numFmtId="0" fontId="65" fillId="0" borderId="51" xfId="1" applyFont="1" applyFill="1" applyBorder="1" applyAlignment="1">
      <alignment horizontal="left" vertical="center"/>
    </xf>
    <xf numFmtId="169" fontId="148" fillId="0" borderId="48" xfId="1" applyNumberFormat="1" applyFont="1" applyFill="1" applyBorder="1" applyAlignment="1">
      <alignment horizontal="right" vertical="center"/>
    </xf>
    <xf numFmtId="167" fontId="55" fillId="0" borderId="0" xfId="1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3" fontId="154" fillId="0" borderId="0" xfId="1" applyNumberFormat="1" applyFont="1" applyFill="1" applyBorder="1" applyAlignment="1">
      <alignment horizontal="center" vertical="center"/>
    </xf>
    <xf numFmtId="3" fontId="54" fillId="0" borderId="0" xfId="1" applyNumberFormat="1" applyFont="1" applyFill="1" applyBorder="1" applyAlignment="1">
      <alignment vertical="center"/>
    </xf>
    <xf numFmtId="0" fontId="54" fillId="0" borderId="52" xfId="1" applyFont="1" applyFill="1" applyBorder="1" applyAlignment="1">
      <alignment vertical="center"/>
    </xf>
    <xf numFmtId="167" fontId="54" fillId="0" borderId="52" xfId="1" applyNumberFormat="1" applyFont="1" applyFill="1" applyBorder="1" applyAlignment="1">
      <alignment vertical="center"/>
    </xf>
    <xf numFmtId="0" fontId="55" fillId="0" borderId="51" xfId="1" applyFont="1" applyFill="1" applyBorder="1" applyAlignment="1">
      <alignment horizontal="left" vertical="center"/>
    </xf>
    <xf numFmtId="0" fontId="55" fillId="0" borderId="96" xfId="1" applyFont="1" applyFill="1" applyBorder="1" applyAlignment="1">
      <alignment horizontal="left" vertical="center"/>
    </xf>
    <xf numFmtId="0" fontId="55" fillId="0" borderId="9" xfId="1" applyFont="1" applyFill="1" applyBorder="1" applyAlignment="1">
      <alignment horizontal="left" vertical="center"/>
    </xf>
    <xf numFmtId="0" fontId="151" fillId="32" borderId="8" xfId="1" applyFont="1" applyFill="1" applyBorder="1" applyAlignment="1">
      <alignment horizontal="left" vertical="center"/>
    </xf>
    <xf numFmtId="169" fontId="151" fillId="32" borderId="48" xfId="1" applyNumberFormat="1" applyFont="1" applyFill="1" applyBorder="1" applyAlignment="1">
      <alignment horizontal="right" vertical="center"/>
    </xf>
    <xf numFmtId="169" fontId="54" fillId="4" borderId="109" xfId="1" applyNumberFormat="1" applyFont="1" applyFill="1" applyBorder="1" applyAlignment="1">
      <alignment vertical="center"/>
    </xf>
    <xf numFmtId="0" fontId="146" fillId="4" borderId="51" xfId="1" applyFont="1" applyFill="1" applyBorder="1" applyAlignment="1">
      <alignment vertical="center"/>
    </xf>
    <xf numFmtId="0" fontId="151" fillId="0" borderId="96" xfId="1" applyFont="1" applyFill="1" applyBorder="1" applyAlignment="1">
      <alignment horizontal="left" vertical="center"/>
    </xf>
    <xf numFmtId="169" fontId="151" fillId="0" borderId="48" xfId="1" applyNumberFormat="1" applyFont="1" applyFill="1" applyBorder="1" applyAlignment="1">
      <alignment horizontal="right" vertical="center"/>
    </xf>
    <xf numFmtId="169" fontId="54" fillId="0" borderId="48" xfId="1" applyNumberFormat="1" applyFont="1" applyFill="1" applyBorder="1" applyAlignment="1">
      <alignment vertical="center"/>
    </xf>
    <xf numFmtId="0" fontId="122" fillId="0" borderId="93" xfId="1" applyFont="1" applyFill="1" applyBorder="1" applyAlignment="1">
      <alignment horizontal="center" vertical="center"/>
    </xf>
    <xf numFmtId="0" fontId="151" fillId="0" borderId="40" xfId="1" applyFont="1" applyFill="1" applyBorder="1" applyAlignment="1">
      <alignment horizontal="left" vertical="center"/>
    </xf>
    <xf numFmtId="0" fontId="54" fillId="0" borderId="96" xfId="1" applyFont="1" applyFill="1" applyBorder="1" applyAlignment="1">
      <alignment horizontal="left" vertical="center"/>
    </xf>
    <xf numFmtId="0" fontId="65" fillId="0" borderId="93" xfId="1" applyFont="1" applyFill="1" applyBorder="1" applyAlignment="1">
      <alignment horizontal="left" vertical="center"/>
    </xf>
    <xf numFmtId="169" fontId="54" fillId="0" borderId="198" xfId="1" applyNumberFormat="1" applyFont="1" applyFill="1" applyBorder="1" applyAlignment="1">
      <alignment vertical="center"/>
    </xf>
    <xf numFmtId="0" fontId="81" fillId="0" borderId="40" xfId="1" applyFont="1" applyFill="1" applyBorder="1" applyAlignment="1">
      <alignment horizontal="left" vertical="center"/>
    </xf>
    <xf numFmtId="0" fontId="146" fillId="0" borderId="93" xfId="1" applyFont="1" applyFill="1" applyBorder="1" applyAlignment="1">
      <alignment vertical="center"/>
    </xf>
    <xf numFmtId="0" fontId="65" fillId="0" borderId="4" xfId="1" applyFont="1" applyFill="1" applyBorder="1" applyAlignment="1">
      <alignment horizontal="left" vertical="center"/>
    </xf>
    <xf numFmtId="0" fontId="122" fillId="0" borderId="9" xfId="1" applyFont="1" applyFill="1" applyBorder="1" applyAlignment="1">
      <alignment horizontal="center" vertical="center"/>
    </xf>
    <xf numFmtId="0" fontId="122" fillId="0" borderId="4" xfId="1" applyFont="1" applyFill="1" applyBorder="1" applyAlignment="1">
      <alignment horizontal="center" vertical="center"/>
    </xf>
    <xf numFmtId="0" fontId="54" fillId="0" borderId="4" xfId="1" applyFont="1" applyFill="1" applyBorder="1" applyAlignment="1">
      <alignment horizontal="left" vertical="center"/>
    </xf>
    <xf numFmtId="0" fontId="146" fillId="0" borderId="96" xfId="1" applyFont="1" applyFill="1" applyBorder="1" applyAlignment="1">
      <alignment vertical="center"/>
    </xf>
    <xf numFmtId="0" fontId="122" fillId="0" borderId="106" xfId="1" applyFont="1" applyFill="1" applyBorder="1" applyAlignment="1">
      <alignment horizontal="center" vertical="center"/>
    </xf>
    <xf numFmtId="3" fontId="54" fillId="0" borderId="96" xfId="1" applyNumberFormat="1" applyFont="1" applyFill="1" applyBorder="1" applyAlignment="1">
      <alignment horizontal="left" vertical="center"/>
    </xf>
    <xf numFmtId="0" fontId="54" fillId="0" borderId="51" xfId="1" applyFont="1" applyFill="1" applyBorder="1" applyAlignment="1">
      <alignment vertical="center"/>
    </xf>
    <xf numFmtId="0" fontId="81" fillId="0" borderId="96" xfId="1" applyFont="1" applyFill="1" applyBorder="1" applyAlignment="1">
      <alignment horizontal="left" vertical="center"/>
    </xf>
    <xf numFmtId="0" fontId="54" fillId="0" borderId="125" xfId="1" applyFont="1" applyFill="1" applyBorder="1" applyAlignment="1">
      <alignment vertical="center"/>
    </xf>
    <xf numFmtId="167" fontId="55" fillId="0" borderId="127" xfId="1" applyNumberFormat="1" applyFont="1" applyFill="1" applyBorder="1" applyAlignment="1">
      <alignment horizontal="center" vertical="center"/>
    </xf>
    <xf numFmtId="0" fontId="81" fillId="0" borderId="128" xfId="1" applyFont="1" applyFill="1" applyBorder="1" applyAlignment="1">
      <alignment horizontal="left" vertical="center"/>
    </xf>
    <xf numFmtId="0" fontId="65" fillId="0" borderId="128" xfId="1" applyFont="1" applyFill="1" applyBorder="1" applyAlignment="1">
      <alignment horizontal="left" vertical="center"/>
    </xf>
    <xf numFmtId="0" fontId="54" fillId="0" borderId="155" xfId="1" applyFont="1" applyFill="1" applyBorder="1" applyAlignment="1">
      <alignment vertical="center"/>
    </xf>
    <xf numFmtId="0" fontId="145" fillId="0" borderId="0" xfId="15" applyFont="1" applyFill="1" applyBorder="1" applyAlignment="1">
      <alignment vertical="center"/>
    </xf>
    <xf numFmtId="0" fontId="65" fillId="4" borderId="40" xfId="1" applyFont="1" applyFill="1" applyBorder="1" applyAlignment="1">
      <alignment horizontal="left" vertical="center"/>
    </xf>
    <xf numFmtId="169" fontId="65" fillId="4" borderId="47" xfId="1" applyNumberFormat="1" applyFont="1" applyFill="1" applyBorder="1" applyAlignment="1">
      <alignment horizontal="right" vertical="center"/>
    </xf>
    <xf numFmtId="169" fontId="54" fillId="0" borderId="102" xfId="1" applyNumberFormat="1" applyFont="1" applyFill="1" applyBorder="1" applyAlignment="1">
      <alignment horizontal="right" vertical="center"/>
    </xf>
    <xf numFmtId="169" fontId="65" fillId="0" borderId="102" xfId="1" applyNumberFormat="1" applyFont="1" applyFill="1" applyBorder="1" applyAlignment="1">
      <alignment horizontal="right" vertical="center"/>
    </xf>
    <xf numFmtId="169" fontId="65" fillId="0" borderId="77" xfId="1" applyNumberFormat="1" applyFont="1" applyFill="1" applyBorder="1" applyAlignment="1">
      <alignment horizontal="right" vertical="center"/>
    </xf>
    <xf numFmtId="169" fontId="54" fillId="0" borderId="200" xfId="1" applyNumberFormat="1" applyFont="1" applyFill="1" applyBorder="1" applyAlignment="1">
      <alignment horizontal="right" vertical="center"/>
    </xf>
    <xf numFmtId="0" fontId="147" fillId="0" borderId="96" xfId="1" applyFont="1" applyFill="1" applyBorder="1" applyAlignment="1">
      <alignment horizontal="center" vertical="center"/>
    </xf>
    <xf numFmtId="0" fontId="122" fillId="0" borderId="46" xfId="1" applyFont="1" applyFill="1" applyBorder="1" applyAlignment="1">
      <alignment horizontal="center" vertical="center"/>
    </xf>
    <xf numFmtId="0" fontId="65" fillId="0" borderId="46" xfId="1" applyFont="1" applyFill="1" applyBorder="1" applyAlignment="1">
      <alignment horizontal="left" vertical="center"/>
    </xf>
    <xf numFmtId="0" fontId="122" fillId="0" borderId="104" xfId="1" applyFont="1" applyFill="1" applyBorder="1" applyAlignment="1">
      <alignment horizontal="center" vertical="center"/>
    </xf>
    <xf numFmtId="0" fontId="65" fillId="0" borderId="104" xfId="1" applyFont="1" applyFill="1" applyBorder="1" applyAlignment="1">
      <alignment horizontal="left" vertical="center"/>
    </xf>
    <xf numFmtId="0" fontId="65" fillId="0" borderId="105" xfId="1" applyFont="1" applyFill="1" applyBorder="1" applyAlignment="1">
      <alignment horizontal="left" vertical="center"/>
    </xf>
    <xf numFmtId="0" fontId="54" fillId="0" borderId="4" xfId="1" applyFont="1" applyFill="1" applyBorder="1" applyAlignment="1">
      <alignment vertical="center"/>
    </xf>
    <xf numFmtId="0" fontId="122" fillId="4" borderId="40" xfId="1" applyFont="1" applyFill="1" applyBorder="1" applyAlignment="1">
      <alignment horizontal="center" vertical="center"/>
    </xf>
    <xf numFmtId="0" fontId="54" fillId="4" borderId="105" xfId="1" applyFont="1" applyFill="1" applyBorder="1" applyAlignment="1">
      <alignment vertical="center"/>
    </xf>
    <xf numFmtId="0" fontId="147" fillId="0" borderId="105" xfId="1" applyFont="1" applyFill="1" applyBorder="1" applyAlignment="1">
      <alignment vertical="center"/>
    </xf>
    <xf numFmtId="0" fontId="147" fillId="0" borderId="40" xfId="1" applyFont="1" applyFill="1" applyBorder="1" applyAlignment="1">
      <alignment horizontal="left" vertical="center"/>
    </xf>
    <xf numFmtId="0" fontId="54" fillId="0" borderId="96" xfId="1" applyFont="1" applyFill="1" applyBorder="1" applyAlignment="1">
      <alignment vertical="center"/>
    </xf>
    <xf numFmtId="0" fontId="54" fillId="0" borderId="8" xfId="1" applyFont="1" applyFill="1" applyBorder="1" applyAlignment="1">
      <alignment vertical="center"/>
    </xf>
    <xf numFmtId="169" fontId="54" fillId="4" borderId="45" xfId="1" applyNumberFormat="1" applyFont="1" applyFill="1" applyBorder="1" applyAlignment="1">
      <alignment horizontal="right" vertical="center"/>
    </xf>
    <xf numFmtId="0" fontId="54" fillId="4" borderId="40" xfId="1" applyFont="1" applyFill="1" applyBorder="1" applyAlignment="1">
      <alignment vertical="center"/>
    </xf>
    <xf numFmtId="169" fontId="54" fillId="4" borderId="48" xfId="1" applyNumberFormat="1" applyFont="1" applyFill="1" applyBorder="1" applyAlignment="1">
      <alignment vertical="center"/>
    </xf>
    <xf numFmtId="169" fontId="54" fillId="0" borderId="0" xfId="1" applyNumberFormat="1" applyFont="1" applyFill="1" applyBorder="1" applyAlignment="1">
      <alignment vertical="center"/>
    </xf>
    <xf numFmtId="169" fontId="54" fillId="0" borderId="0" xfId="1" applyNumberFormat="1" applyFont="1" applyFill="1" applyBorder="1" applyAlignment="1">
      <alignment horizontal="right" vertical="center"/>
    </xf>
    <xf numFmtId="169" fontId="65" fillId="0" borderId="98" xfId="1" applyNumberFormat="1" applyFont="1" applyFill="1" applyBorder="1" applyAlignment="1">
      <alignment horizontal="right" vertical="center"/>
    </xf>
    <xf numFmtId="169" fontId="54" fillId="0" borderId="28" xfId="1" applyNumberFormat="1" applyFont="1" applyFill="1" applyBorder="1" applyAlignment="1">
      <alignment horizontal="right" vertical="center"/>
    </xf>
    <xf numFmtId="169" fontId="65" fillId="0" borderId="28" xfId="1" applyNumberFormat="1" applyFont="1" applyFill="1" applyBorder="1" applyAlignment="1">
      <alignment horizontal="right" vertical="center"/>
    </xf>
    <xf numFmtId="0" fontId="147" fillId="0" borderId="0" xfId="1" applyFont="1" applyFill="1" applyBorder="1" applyAlignment="1">
      <alignment horizontal="left" vertical="center"/>
    </xf>
    <xf numFmtId="169" fontId="54" fillId="0" borderId="0" xfId="1" applyNumberFormat="1" applyFont="1" applyFill="1" applyBorder="1" applyAlignment="1">
      <alignment horizontal="left" vertical="center"/>
    </xf>
    <xf numFmtId="169" fontId="65" fillId="0" borderId="0" xfId="1" applyNumberFormat="1" applyFont="1" applyFill="1" applyBorder="1" applyAlignment="1">
      <alignment horizontal="right" vertical="center"/>
    </xf>
    <xf numFmtId="169" fontId="65" fillId="0" borderId="0" xfId="1" applyNumberFormat="1" applyFont="1" applyFill="1" applyBorder="1" applyAlignment="1">
      <alignment horizontal="left" vertical="center"/>
    </xf>
    <xf numFmtId="0" fontId="3" fillId="0" borderId="184" xfId="1" applyFont="1" applyFill="1" applyBorder="1" applyAlignment="1">
      <alignment vertical="center"/>
    </xf>
    <xf numFmtId="0" fontId="3" fillId="0" borderId="166" xfId="1" applyFont="1" applyFill="1" applyBorder="1" applyAlignment="1">
      <alignment vertical="center"/>
    </xf>
    <xf numFmtId="0" fontId="3" fillId="0" borderId="9" xfId="1" applyFont="1" applyFill="1" applyBorder="1" applyAlignment="1">
      <alignment vertical="center"/>
    </xf>
    <xf numFmtId="0" fontId="122" fillId="4" borderId="141" xfId="1" applyFont="1" applyFill="1" applyBorder="1" applyAlignment="1">
      <alignment horizontal="center" vertical="center"/>
    </xf>
    <xf numFmtId="169" fontId="54" fillId="4" borderId="198" xfId="1" applyNumberFormat="1" applyFont="1" applyFill="1" applyBorder="1" applyAlignment="1">
      <alignment horizontal="right" vertical="center"/>
    </xf>
    <xf numFmtId="0" fontId="122" fillId="0" borderId="184" xfId="1" applyFont="1" applyFill="1" applyBorder="1" applyAlignment="1">
      <alignment horizontal="center" vertical="center"/>
    </xf>
    <xf numFmtId="0" fontId="54" fillId="0" borderId="40" xfId="1" applyFont="1" applyFill="1" applyBorder="1" applyAlignment="1">
      <alignment horizontal="center" vertical="center"/>
    </xf>
    <xf numFmtId="3" fontId="54" fillId="0" borderId="125" xfId="1" applyNumberFormat="1" applyFont="1" applyFill="1" applyBorder="1" applyAlignment="1">
      <alignment horizontal="left" vertical="center"/>
    </xf>
    <xf numFmtId="169" fontId="54" fillId="0" borderId="108" xfId="1" applyNumberFormat="1" applyFont="1" applyFill="1" applyBorder="1" applyAlignment="1">
      <alignment horizontal="right" vertical="center"/>
    </xf>
    <xf numFmtId="0" fontId="54" fillId="0" borderId="184" xfId="1" applyFont="1" applyFill="1" applyBorder="1" applyAlignment="1">
      <alignment horizontal="center" vertical="center"/>
    </xf>
    <xf numFmtId="0" fontId="145" fillId="2" borderId="5" xfId="15" applyFont="1" applyFill="1" applyBorder="1" applyAlignment="1">
      <alignment horizontal="left" vertical="center"/>
    </xf>
    <xf numFmtId="169" fontId="54" fillId="0" borderId="120" xfId="1" applyNumberFormat="1" applyFont="1" applyFill="1" applyBorder="1" applyAlignment="1">
      <alignment horizontal="right" vertical="center"/>
    </xf>
    <xf numFmtId="169" fontId="54" fillId="0" borderId="195" xfId="1" applyNumberFormat="1" applyFont="1" applyFill="1" applyBorder="1" applyAlignment="1">
      <alignment horizontal="right" vertical="center"/>
    </xf>
    <xf numFmtId="169" fontId="54" fillId="0" borderId="98" xfId="1" applyNumberFormat="1" applyFont="1" applyFill="1" applyBorder="1" applyAlignment="1">
      <alignment horizontal="right" vertical="center"/>
    </xf>
    <xf numFmtId="169" fontId="54" fillId="0" borderId="119" xfId="1" applyNumberFormat="1" applyFont="1" applyFill="1" applyBorder="1" applyAlignment="1">
      <alignment horizontal="right" vertical="center"/>
    </xf>
    <xf numFmtId="0" fontId="54" fillId="0" borderId="0" xfId="1" applyFont="1" applyFill="1"/>
    <xf numFmtId="0" fontId="54" fillId="0" borderId="0" xfId="1" applyFont="1" applyFill="1" applyBorder="1"/>
    <xf numFmtId="3" fontId="54" fillId="0" borderId="184" xfId="1" applyNumberFormat="1" applyFont="1" applyFill="1" applyBorder="1" applyAlignment="1">
      <alignment horizontal="left" vertical="center"/>
    </xf>
    <xf numFmtId="3" fontId="54" fillId="0" borderId="9" xfId="1" applyNumberFormat="1" applyFont="1" applyFill="1" applyBorder="1" applyAlignment="1">
      <alignment horizontal="left" vertical="center"/>
    </xf>
    <xf numFmtId="0" fontId="65" fillId="0" borderId="184" xfId="1" applyFont="1" applyFill="1" applyBorder="1" applyAlignment="1">
      <alignment horizontal="left" vertical="center"/>
    </xf>
    <xf numFmtId="169" fontId="54" fillId="0" borderId="48" xfId="1" applyNumberFormat="1" applyFont="1" applyFill="1" applyBorder="1" applyAlignment="1">
      <alignment horizontal="left" vertical="center"/>
    </xf>
    <xf numFmtId="0" fontId="54" fillId="0" borderId="166" xfId="1" applyFont="1" applyFill="1" applyBorder="1" applyAlignment="1">
      <alignment horizontal="left" vertical="center"/>
    </xf>
    <xf numFmtId="169" fontId="54" fillId="0" borderId="44" xfId="1" applyNumberFormat="1" applyFont="1" applyFill="1" applyBorder="1" applyAlignment="1">
      <alignment horizontal="left" vertical="center"/>
    </xf>
    <xf numFmtId="0" fontId="54" fillId="0" borderId="184" xfId="1" applyFont="1" applyFill="1" applyBorder="1" applyAlignment="1">
      <alignment horizontal="left" vertical="center"/>
    </xf>
    <xf numFmtId="169" fontId="122" fillId="0" borderId="0" xfId="1" applyNumberFormat="1" applyFont="1" applyFill="1" applyBorder="1" applyAlignment="1">
      <alignment horizontal="right" vertical="center"/>
    </xf>
    <xf numFmtId="167" fontId="158" fillId="0" borderId="0" xfId="1" applyNumberFormat="1" applyFont="1" applyFill="1" applyBorder="1" applyAlignment="1">
      <alignment horizontal="center" vertical="center"/>
    </xf>
    <xf numFmtId="169" fontId="54" fillId="0" borderId="0" xfId="1" applyNumberFormat="1" applyFont="1" applyFill="1" applyBorder="1" applyAlignment="1">
      <alignment horizontal="center" vertical="center"/>
    </xf>
    <xf numFmtId="169" fontId="122" fillId="0" borderId="93" xfId="1" applyNumberFormat="1" applyFont="1" applyFill="1" applyBorder="1" applyAlignment="1">
      <alignment horizontal="right" vertical="center"/>
    </xf>
    <xf numFmtId="167" fontId="3" fillId="0" borderId="93" xfId="1" applyNumberFormat="1" applyFont="1" applyFill="1" applyBorder="1" applyAlignment="1">
      <alignment horizontal="center" vertical="center"/>
    </xf>
    <xf numFmtId="0" fontId="122" fillId="32" borderId="40" xfId="1" applyFont="1" applyFill="1" applyBorder="1" applyAlignment="1">
      <alignment horizontal="center" vertical="center"/>
    </xf>
    <xf numFmtId="169" fontId="54" fillId="32" borderId="47" xfId="1" applyNumberFormat="1" applyFont="1" applyFill="1" applyBorder="1" applyAlignment="1">
      <alignment horizontal="right" vertical="center"/>
    </xf>
    <xf numFmtId="0" fontId="54" fillId="4" borderId="40" xfId="1" applyFont="1" applyFill="1" applyBorder="1" applyAlignment="1">
      <alignment horizontal="left" vertical="center"/>
    </xf>
    <xf numFmtId="0" fontId="65" fillId="0" borderId="9" xfId="1" applyFont="1" applyFill="1" applyBorder="1" applyAlignment="1">
      <alignment horizontal="left" vertical="center"/>
    </xf>
    <xf numFmtId="0" fontId="65" fillId="0" borderId="106" xfId="1" applyFont="1" applyFill="1" applyBorder="1" applyAlignment="1">
      <alignment horizontal="left" vertical="center"/>
    </xf>
    <xf numFmtId="0" fontId="159" fillId="0" borderId="93" xfId="1" applyFont="1" applyFill="1" applyBorder="1" applyAlignment="1">
      <alignment horizontal="center" vertical="center"/>
    </xf>
    <xf numFmtId="0" fontId="159" fillId="0" borderId="0" xfId="1" applyFont="1" applyFill="1" applyBorder="1" applyAlignment="1">
      <alignment horizontal="center" vertical="center"/>
    </xf>
    <xf numFmtId="0" fontId="122" fillId="0" borderId="8" xfId="1" applyFont="1" applyFill="1" applyBorder="1" applyAlignment="1">
      <alignment horizontal="center" vertical="center"/>
    </xf>
    <xf numFmtId="0" fontId="54" fillId="0" borderId="49" xfId="1" applyFont="1" applyFill="1" applyBorder="1" applyAlignment="1">
      <alignment horizontal="left" vertical="center"/>
    </xf>
    <xf numFmtId="3" fontId="54" fillId="0" borderId="49" xfId="1" applyNumberFormat="1" applyFont="1" applyFill="1" applyBorder="1" applyAlignment="1">
      <alignment horizontal="left" vertical="center"/>
    </xf>
    <xf numFmtId="0" fontId="145" fillId="0" borderId="0" xfId="15" applyFont="1" applyFill="1" applyAlignment="1">
      <alignment vertical="center"/>
    </xf>
    <xf numFmtId="3" fontId="3" fillId="0" borderId="6" xfId="1" applyNumberFormat="1" applyFont="1" applyFill="1" applyBorder="1" applyAlignment="1">
      <alignment horizontal="left" vertical="center"/>
    </xf>
    <xf numFmtId="3" fontId="3" fillId="0" borderId="45" xfId="1" applyNumberFormat="1" applyFont="1" applyFill="1" applyBorder="1" applyAlignment="1">
      <alignment horizontal="left" vertical="center"/>
    </xf>
    <xf numFmtId="169" fontId="3" fillId="0" borderId="6" xfId="1" applyNumberFormat="1" applyFont="1" applyFill="1" applyBorder="1" applyAlignment="1">
      <alignment horizontal="center" vertical="center"/>
    </xf>
    <xf numFmtId="169" fontId="54" fillId="4" borderId="6" xfId="1" applyNumberFormat="1" applyFont="1" applyFill="1" applyBorder="1" applyAlignment="1">
      <alignment horizontal="right" vertical="center"/>
    </xf>
    <xf numFmtId="169" fontId="54" fillId="4" borderId="6" xfId="1" applyNumberFormat="1" applyFont="1" applyFill="1" applyBorder="1" applyAlignment="1">
      <alignment vertical="center"/>
    </xf>
    <xf numFmtId="169" fontId="54" fillId="0" borderId="6" xfId="1" applyNumberFormat="1" applyFont="1" applyFill="1" applyBorder="1" applyAlignment="1">
      <alignment horizontal="right" vertical="center"/>
    </xf>
    <xf numFmtId="169" fontId="54" fillId="0" borderId="100" xfId="1" applyNumberFormat="1" applyFont="1" applyFill="1" applyBorder="1" applyAlignment="1">
      <alignment horizontal="right" vertical="center"/>
    </xf>
    <xf numFmtId="169" fontId="54" fillId="0" borderId="120" xfId="1" applyNumberFormat="1" applyFont="1" applyFill="1" applyBorder="1" applyAlignment="1">
      <alignment vertical="center"/>
    </xf>
    <xf numFmtId="0" fontId="54" fillId="0" borderId="94" xfId="1" applyFont="1" applyFill="1" applyBorder="1" applyAlignment="1">
      <alignment vertical="center"/>
    </xf>
    <xf numFmtId="169" fontId="54" fillId="0" borderId="94" xfId="1" applyNumberFormat="1" applyFont="1" applyFill="1" applyBorder="1" applyAlignment="1">
      <alignment horizontal="right" vertical="center"/>
    </xf>
    <xf numFmtId="0" fontId="54" fillId="0" borderId="94" xfId="1" applyFont="1" applyFill="1" applyBorder="1" applyAlignment="1">
      <alignment horizontal="left" vertical="center"/>
    </xf>
    <xf numFmtId="169" fontId="54" fillId="0" borderId="19" xfId="1" applyNumberFormat="1" applyFont="1" applyFill="1" applyBorder="1" applyAlignment="1">
      <alignment horizontal="right" vertical="center"/>
    </xf>
    <xf numFmtId="169" fontId="54" fillId="0" borderId="44" xfId="1" applyNumberFormat="1" applyFont="1" applyFill="1" applyBorder="1" applyAlignment="1">
      <alignment vertical="center"/>
    </xf>
    <xf numFmtId="169" fontId="54" fillId="0" borderId="95" xfId="1" applyNumberFormat="1" applyFont="1" applyFill="1" applyBorder="1" applyAlignment="1">
      <alignment horizontal="right" vertical="center"/>
    </xf>
    <xf numFmtId="3" fontId="54" fillId="0" borderId="19" xfId="1" applyNumberFormat="1" applyFont="1" applyFill="1" applyBorder="1" applyAlignment="1">
      <alignment horizontal="left" vertical="center"/>
    </xf>
    <xf numFmtId="167" fontId="54" fillId="0" borderId="0" xfId="1" applyNumberFormat="1" applyFont="1" applyFill="1" applyBorder="1" applyAlignment="1">
      <alignment vertical="center"/>
    </xf>
    <xf numFmtId="3" fontId="3" fillId="0" borderId="9" xfId="1" applyNumberFormat="1" applyFont="1" applyFill="1" applyBorder="1" applyAlignment="1">
      <alignment horizontal="left" vertical="center"/>
    </xf>
    <xf numFmtId="0" fontId="147" fillId="4" borderId="6" xfId="1" applyFont="1" applyFill="1" applyBorder="1" applyAlignment="1">
      <alignment vertical="center"/>
    </xf>
    <xf numFmtId="0" fontId="54" fillId="4" borderId="6" xfId="1" applyFont="1" applyFill="1" applyBorder="1" applyAlignment="1">
      <alignment vertical="center"/>
    </xf>
    <xf numFmtId="169" fontId="54" fillId="0" borderId="215" xfId="1" applyNumberFormat="1" applyFont="1" applyFill="1" applyBorder="1" applyAlignment="1">
      <alignment horizontal="right" vertical="center"/>
    </xf>
    <xf numFmtId="169" fontId="54" fillId="0" borderId="211" xfId="1" applyNumberFormat="1" applyFont="1" applyFill="1" applyBorder="1" applyAlignment="1">
      <alignment horizontal="right" vertical="center"/>
    </xf>
    <xf numFmtId="169" fontId="54" fillId="0" borderId="62" xfId="1" applyNumberFormat="1" applyFont="1" applyFill="1" applyBorder="1" applyAlignment="1">
      <alignment horizontal="right" vertical="center"/>
    </xf>
    <xf numFmtId="0" fontId="81" fillId="0" borderId="0" xfId="1" applyFont="1" applyFill="1" applyBorder="1"/>
    <xf numFmtId="3" fontId="78" fillId="0" borderId="0" xfId="1" applyNumberFormat="1" applyFont="1" applyFill="1" applyBorder="1" applyAlignment="1">
      <alignment horizontal="center" vertical="center"/>
    </xf>
    <xf numFmtId="0" fontId="145" fillId="0" borderId="52" xfId="15" applyFont="1" applyFill="1" applyBorder="1" applyAlignment="1">
      <alignment vertical="center"/>
    </xf>
    <xf numFmtId="0" fontId="145" fillId="0" borderId="52" xfId="15" applyFont="1" applyFill="1" applyBorder="1" applyAlignment="1">
      <alignment horizontal="left" vertical="center"/>
    </xf>
    <xf numFmtId="169" fontId="54" fillId="4" borderId="44" xfId="1" applyNumberFormat="1" applyFont="1" applyFill="1" applyBorder="1" applyAlignment="1">
      <alignment horizontal="right" vertical="center"/>
    </xf>
    <xf numFmtId="0" fontId="145" fillId="0" borderId="186" xfId="15" applyFont="1" applyFill="1" applyBorder="1" applyAlignment="1">
      <alignment horizontal="left" vertical="center"/>
    </xf>
    <xf numFmtId="0" fontId="156" fillId="0" borderId="40" xfId="1" applyFont="1" applyFill="1" applyBorder="1" applyAlignment="1">
      <alignment horizontal="left" vertical="center"/>
    </xf>
    <xf numFmtId="0" fontId="122" fillId="0" borderId="54" xfId="1" applyFont="1" applyFill="1" applyBorder="1" applyAlignment="1">
      <alignment horizontal="center" vertical="center"/>
    </xf>
    <xf numFmtId="0" fontId="54" fillId="0" borderId="172" xfId="1" applyFont="1" applyFill="1" applyBorder="1" applyAlignment="1">
      <alignment horizontal="left" vertical="center"/>
    </xf>
    <xf numFmtId="0" fontId="145" fillId="0" borderId="5" xfId="15" applyFont="1" applyFill="1" applyBorder="1" applyAlignment="1">
      <alignment horizontal="left" vertical="center"/>
    </xf>
    <xf numFmtId="172" fontId="55" fillId="0" borderId="1" xfId="1" applyNumberFormat="1" applyFont="1" applyFill="1" applyBorder="1" applyAlignment="1">
      <alignment horizontal="center" vertical="center"/>
    </xf>
    <xf numFmtId="172" fontId="55" fillId="0" borderId="95" xfId="1" applyNumberFormat="1" applyFont="1" applyFill="1" applyBorder="1" applyAlignment="1">
      <alignment horizontal="center" vertical="center"/>
    </xf>
    <xf numFmtId="172" fontId="55" fillId="0" borderId="214" xfId="1" applyNumberFormat="1" applyFont="1" applyFill="1" applyBorder="1" applyAlignment="1">
      <alignment horizontal="center" vertical="center"/>
    </xf>
    <xf numFmtId="172" fontId="55" fillId="0" borderId="61" xfId="1" applyNumberFormat="1" applyFont="1" applyFill="1" applyBorder="1" applyAlignment="1">
      <alignment horizontal="center" vertical="center"/>
    </xf>
    <xf numFmtId="172" fontId="3" fillId="0" borderId="1" xfId="1" applyNumberFormat="1" applyFont="1" applyFill="1" applyBorder="1" applyAlignment="1">
      <alignment horizontal="center" vertical="center"/>
    </xf>
    <xf numFmtId="172" fontId="3" fillId="0" borderId="95" xfId="1" applyNumberFormat="1" applyFont="1" applyFill="1" applyBorder="1" applyAlignment="1">
      <alignment horizontal="center" vertical="center"/>
    </xf>
    <xf numFmtId="172" fontId="3" fillId="0" borderId="214" xfId="1" applyNumberFormat="1" applyFont="1" applyFill="1" applyBorder="1" applyAlignment="1">
      <alignment horizontal="center" vertical="center"/>
    </xf>
    <xf numFmtId="3" fontId="54" fillId="0" borderId="4" xfId="1" applyNumberFormat="1" applyFont="1" applyFill="1" applyBorder="1" applyAlignment="1">
      <alignment horizontal="left" vertical="center"/>
    </xf>
    <xf numFmtId="0" fontId="54" fillId="2" borderId="172" xfId="1" applyFont="1" applyFill="1" applyBorder="1" applyAlignment="1">
      <alignment horizontal="left" vertical="center"/>
    </xf>
    <xf numFmtId="0" fontId="65" fillId="0" borderId="172" xfId="1" applyFont="1" applyFill="1" applyBorder="1" applyAlignment="1">
      <alignment horizontal="left" vertical="center"/>
    </xf>
    <xf numFmtId="0" fontId="147" fillId="0" borderId="104" xfId="1" applyFont="1" applyFill="1" applyBorder="1" applyAlignment="1">
      <alignment horizontal="center" vertical="center"/>
    </xf>
    <xf numFmtId="169" fontId="65" fillId="0" borderId="200" xfId="1" applyNumberFormat="1" applyFont="1" applyFill="1" applyBorder="1" applyAlignment="1">
      <alignment horizontal="right" vertical="center"/>
    </xf>
    <xf numFmtId="0" fontId="54" fillId="0" borderId="104" xfId="1" applyFont="1" applyFill="1" applyBorder="1" applyAlignment="1">
      <alignment vertical="center"/>
    </xf>
    <xf numFmtId="0" fontId="54" fillId="0" borderId="101" xfId="1" applyFont="1" applyFill="1" applyBorder="1" applyAlignment="1">
      <alignment vertical="center"/>
    </xf>
    <xf numFmtId="0" fontId="145" fillId="0" borderId="50" xfId="15" applyFont="1" applyFill="1" applyBorder="1" applyAlignment="1">
      <alignment horizontal="left" vertical="center"/>
    </xf>
    <xf numFmtId="0" fontId="145" fillId="0" borderId="103" xfId="15" applyFont="1" applyFill="1" applyBorder="1" applyAlignment="1">
      <alignment horizontal="left" vertical="center"/>
    </xf>
    <xf numFmtId="172" fontId="3" fillId="0" borderId="178" xfId="1" applyNumberFormat="1" applyFont="1" applyFill="1" applyBorder="1" applyAlignment="1">
      <alignment horizontal="center" vertical="center"/>
    </xf>
    <xf numFmtId="172" fontId="55" fillId="0" borderId="3" xfId="1" applyNumberFormat="1" applyFont="1" applyFill="1" applyBorder="1" applyAlignment="1">
      <alignment horizontal="center" vertical="center"/>
    </xf>
    <xf numFmtId="0" fontId="147" fillId="0" borderId="181" xfId="1" applyFont="1" applyFill="1" applyBorder="1" applyAlignment="1">
      <alignment horizontal="left" vertical="center"/>
    </xf>
    <xf numFmtId="0" fontId="122" fillId="0" borderId="181" xfId="1" applyFont="1" applyFill="1" applyBorder="1" applyAlignment="1">
      <alignment horizontal="center" vertical="center"/>
    </xf>
    <xf numFmtId="0" fontId="65" fillId="0" borderId="166" xfId="1" applyFont="1" applyFill="1" applyBorder="1" applyAlignment="1">
      <alignment horizontal="left" vertical="center"/>
    </xf>
    <xf numFmtId="169" fontId="65" fillId="0" borderId="119" xfId="1" applyNumberFormat="1" applyFont="1" applyFill="1" applyBorder="1" applyAlignment="1">
      <alignment horizontal="right" vertical="center"/>
    </xf>
    <xf numFmtId="3" fontId="54" fillId="0" borderId="178" xfId="1" applyNumberFormat="1" applyFont="1" applyFill="1" applyBorder="1" applyAlignment="1">
      <alignment horizontal="center" vertical="center"/>
    </xf>
    <xf numFmtId="0" fontId="147" fillId="0" borderId="9" xfId="1" applyFont="1" applyFill="1" applyBorder="1" applyAlignment="1">
      <alignment horizontal="left" vertical="center"/>
    </xf>
    <xf numFmtId="0" fontId="154" fillId="0" borderId="9" xfId="1" applyFont="1" applyFill="1" applyBorder="1" applyAlignment="1">
      <alignment horizontal="left" vertical="center"/>
    </xf>
    <xf numFmtId="0" fontId="145" fillId="0" borderId="7" xfId="15" applyFont="1" applyFill="1" applyBorder="1" applyAlignment="1">
      <alignment horizontal="left" vertical="center"/>
    </xf>
    <xf numFmtId="0" fontId="147" fillId="0" borderId="49" xfId="1" applyFont="1" applyFill="1" applyBorder="1" applyAlignment="1">
      <alignment horizontal="left" vertical="center"/>
    </xf>
    <xf numFmtId="3" fontId="54" fillId="0" borderId="93" xfId="1" applyNumberFormat="1" applyFont="1" applyFill="1" applyBorder="1" applyAlignment="1">
      <alignment horizontal="left" vertical="center"/>
    </xf>
    <xf numFmtId="172" fontId="55" fillId="0" borderId="56" xfId="1" applyNumberFormat="1" applyFont="1" applyFill="1" applyBorder="1" applyAlignment="1">
      <alignment horizontal="center" vertical="center"/>
    </xf>
    <xf numFmtId="0" fontId="145" fillId="0" borderId="92" xfId="15" applyFont="1" applyFill="1" applyBorder="1" applyAlignment="1">
      <alignment horizontal="left" vertical="center"/>
    </xf>
    <xf numFmtId="0" fontId="54" fillId="0" borderId="105" xfId="1" applyFont="1" applyFill="1" applyBorder="1" applyAlignment="1">
      <alignment vertical="center"/>
    </xf>
    <xf numFmtId="172" fontId="55" fillId="0" borderId="18" xfId="1" applyNumberFormat="1" applyFont="1" applyFill="1" applyBorder="1" applyAlignment="1">
      <alignment horizontal="center" vertical="center"/>
    </xf>
    <xf numFmtId="172" fontId="55" fillId="0" borderId="82" xfId="1" applyNumberFormat="1" applyFont="1" applyFill="1" applyBorder="1" applyAlignment="1">
      <alignment horizontal="center" vertical="center"/>
    </xf>
    <xf numFmtId="172" fontId="55" fillId="0" borderId="193" xfId="1" applyNumberFormat="1" applyFont="1" applyFill="1" applyBorder="1" applyAlignment="1">
      <alignment horizontal="center" vertical="center"/>
    </xf>
    <xf numFmtId="0" fontId="145" fillId="0" borderId="138" xfId="15" applyFont="1" applyFill="1" applyBorder="1" applyAlignment="1">
      <alignment horizontal="left" vertical="center"/>
    </xf>
    <xf numFmtId="0" fontId="145" fillId="38" borderId="5" xfId="15" applyFont="1" applyFill="1" applyBorder="1" applyAlignment="1">
      <alignment horizontal="left" vertical="center"/>
    </xf>
    <xf numFmtId="0" fontId="145" fillId="28" borderId="5" xfId="15" applyFont="1" applyFill="1" applyBorder="1" applyAlignment="1">
      <alignment horizontal="left" vertical="center"/>
    </xf>
    <xf numFmtId="0" fontId="146" fillId="0" borderId="217" xfId="1" applyFont="1" applyFill="1" applyBorder="1" applyAlignment="1">
      <alignment vertical="center"/>
    </xf>
    <xf numFmtId="0" fontId="145" fillId="4" borderId="138" xfId="15" applyFont="1" applyFill="1" applyBorder="1" applyAlignment="1">
      <alignment horizontal="left" vertical="center"/>
    </xf>
    <xf numFmtId="0" fontId="145" fillId="38" borderId="138" xfId="15" applyFont="1" applyFill="1" applyBorder="1" applyAlignment="1">
      <alignment horizontal="left" vertical="center"/>
    </xf>
    <xf numFmtId="0" fontId="145" fillId="0" borderId="68" xfId="15" applyFont="1" applyFill="1" applyBorder="1" applyAlignment="1">
      <alignment horizontal="left" vertical="center"/>
    </xf>
    <xf numFmtId="0" fontId="145" fillId="4" borderId="68" xfId="15" applyFont="1" applyFill="1" applyBorder="1" applyAlignment="1">
      <alignment horizontal="left" vertical="center"/>
    </xf>
    <xf numFmtId="0" fontId="145" fillId="0" borderId="138" xfId="15" applyFont="1" applyFill="1" applyBorder="1" applyAlignment="1">
      <alignment vertical="center"/>
    </xf>
    <xf numFmtId="169" fontId="54" fillId="0" borderId="218" xfId="1" applyNumberFormat="1" applyFont="1" applyFill="1" applyBorder="1" applyAlignment="1">
      <alignment horizontal="right" vertical="center"/>
    </xf>
    <xf numFmtId="0" fontId="145" fillId="4" borderId="186" xfId="15" applyFont="1" applyFill="1" applyBorder="1" applyAlignment="1">
      <alignment horizontal="left" vertical="center"/>
    </xf>
    <xf numFmtId="0" fontId="145" fillId="38" borderId="219" xfId="15" applyFont="1" applyFill="1" applyBorder="1" applyAlignment="1">
      <alignment horizontal="left" vertical="center"/>
    </xf>
    <xf numFmtId="169" fontId="54" fillId="0" borderId="220" xfId="1" applyNumberFormat="1" applyFont="1" applyFill="1" applyBorder="1" applyAlignment="1">
      <alignment horizontal="right" vertical="center"/>
    </xf>
    <xf numFmtId="0" fontId="145" fillId="0" borderId="147" xfId="15" applyFont="1" applyFill="1" applyBorder="1" applyAlignment="1">
      <alignment horizontal="left" vertical="center"/>
    </xf>
    <xf numFmtId="0" fontId="145" fillId="4" borderId="223" xfId="15" applyFont="1" applyFill="1" applyBorder="1" applyAlignment="1">
      <alignment horizontal="left" vertical="center"/>
    </xf>
    <xf numFmtId="0" fontId="65" fillId="0" borderId="224" xfId="1" applyFont="1" applyFill="1" applyBorder="1" applyAlignment="1">
      <alignment horizontal="left" vertical="center"/>
    </xf>
    <xf numFmtId="0" fontId="160" fillId="0" borderId="138" xfId="15" applyFont="1" applyFill="1" applyBorder="1" applyAlignment="1">
      <alignment horizontal="left" vertical="center"/>
    </xf>
    <xf numFmtId="0" fontId="145" fillId="0" borderId="225" xfId="15" applyFont="1" applyFill="1" applyBorder="1" applyAlignment="1">
      <alignment horizontal="left" vertical="center"/>
    </xf>
    <xf numFmtId="169" fontId="54" fillId="0" borderId="227" xfId="1" applyNumberFormat="1" applyFont="1" applyFill="1" applyBorder="1" applyAlignment="1">
      <alignment horizontal="right" vertical="center"/>
    </xf>
    <xf numFmtId="0" fontId="145" fillId="0" borderId="226" xfId="15" applyFont="1" applyFill="1" applyBorder="1" applyAlignment="1">
      <alignment horizontal="left" vertical="center"/>
    </xf>
    <xf numFmtId="0" fontId="145" fillId="47" borderId="226" xfId="15" applyFont="1" applyFill="1" applyBorder="1" applyAlignment="1">
      <alignment horizontal="left" vertical="center"/>
    </xf>
    <xf numFmtId="0" fontId="145" fillId="38" borderId="223" xfId="15" applyFont="1" applyFill="1" applyBorder="1" applyAlignment="1">
      <alignment horizontal="left" vertical="center"/>
    </xf>
    <xf numFmtId="0" fontId="145" fillId="4" borderId="226" xfId="15" applyFont="1" applyFill="1" applyBorder="1" applyAlignment="1">
      <alignment horizontal="left" vertical="center"/>
    </xf>
    <xf numFmtId="0" fontId="145" fillId="38" borderId="226" xfId="15" applyFont="1" applyFill="1" applyBorder="1" applyAlignment="1">
      <alignment horizontal="left" vertical="center"/>
    </xf>
    <xf numFmtId="0" fontId="145" fillId="38" borderId="229" xfId="15" applyFont="1" applyFill="1" applyBorder="1" applyAlignment="1">
      <alignment horizontal="left" vertical="center"/>
    </xf>
    <xf numFmtId="0" fontId="145" fillId="0" borderId="229" xfId="15" applyFont="1" applyFill="1" applyBorder="1" applyAlignment="1">
      <alignment horizontal="left" vertical="center"/>
    </xf>
    <xf numFmtId="0" fontId="145" fillId="28" borderId="226" xfId="15" applyFont="1" applyFill="1" applyBorder="1" applyAlignment="1">
      <alignment horizontal="left" vertical="center"/>
    </xf>
    <xf numFmtId="0" fontId="54" fillId="0" borderId="226" xfId="1" applyFont="1" applyFill="1" applyBorder="1" applyAlignment="1">
      <alignment horizontal="left" vertical="center"/>
    </xf>
    <xf numFmtId="0" fontId="146" fillId="2" borderId="226" xfId="1" applyFont="1" applyFill="1" applyBorder="1" applyAlignment="1">
      <alignment horizontal="left" vertical="center"/>
    </xf>
    <xf numFmtId="0" fontId="160" fillId="0" borderId="226" xfId="15" applyFont="1" applyFill="1" applyBorder="1" applyAlignment="1">
      <alignment horizontal="left" vertical="center"/>
    </xf>
    <xf numFmtId="0" fontId="145" fillId="0" borderId="226" xfId="15" applyFont="1" applyFill="1" applyBorder="1" applyAlignment="1">
      <alignment vertical="center"/>
    </xf>
    <xf numFmtId="0" fontId="145" fillId="47" borderId="229" xfId="15" applyFont="1" applyFill="1" applyBorder="1" applyAlignment="1">
      <alignment horizontal="left" vertical="center"/>
    </xf>
    <xf numFmtId="0" fontId="54" fillId="2" borderId="228" xfId="1" applyFont="1" applyFill="1" applyBorder="1" applyAlignment="1">
      <alignment vertical="center"/>
    </xf>
    <xf numFmtId="0" fontId="146" fillId="2" borderId="228" xfId="1" applyFont="1" applyFill="1" applyBorder="1" applyAlignment="1">
      <alignment horizontal="left" vertical="center"/>
    </xf>
    <xf numFmtId="0" fontId="151" fillId="0" borderId="228" xfId="1" applyFont="1" applyFill="1" applyBorder="1" applyAlignment="1">
      <alignment horizontal="left" vertical="center"/>
    </xf>
    <xf numFmtId="0" fontId="54" fillId="0" borderId="225" xfId="1" applyFont="1" applyFill="1" applyBorder="1" applyAlignment="1">
      <alignment horizontal="left" vertical="center"/>
    </xf>
    <xf numFmtId="0" fontId="54" fillId="0" borderId="226" xfId="1" applyFont="1" applyFill="1" applyBorder="1" applyAlignment="1">
      <alignment vertical="center"/>
    </xf>
    <xf numFmtId="0" fontId="151" fillId="0" borderId="226" xfId="1" applyFont="1" applyFill="1" applyBorder="1" applyAlignment="1">
      <alignment horizontal="left" vertical="center"/>
    </xf>
    <xf numFmtId="0" fontId="65" fillId="0" borderId="226" xfId="1" applyFont="1" applyFill="1" applyBorder="1" applyAlignment="1">
      <alignment horizontal="left" vertical="center"/>
    </xf>
    <xf numFmtId="0" fontId="145" fillId="38" borderId="147" xfId="15" applyFont="1" applyFill="1" applyBorder="1" applyAlignment="1">
      <alignment horizontal="left" vertical="center"/>
    </xf>
    <xf numFmtId="0" fontId="145" fillId="38" borderId="225" xfId="15" applyFont="1" applyFill="1" applyBorder="1" applyAlignment="1">
      <alignment horizontal="left" vertical="center"/>
    </xf>
    <xf numFmtId="0" fontId="54" fillId="2" borderId="225" xfId="1" applyFont="1" applyFill="1" applyBorder="1" applyAlignment="1">
      <alignment horizontal="left" vertical="center"/>
    </xf>
    <xf numFmtId="0" fontId="54" fillId="0" borderId="228" xfId="1" applyFont="1" applyFill="1" applyBorder="1" applyAlignment="1">
      <alignment horizontal="left" vertical="center"/>
    </xf>
    <xf numFmtId="0" fontId="54" fillId="2" borderId="228" xfId="1" applyFont="1" applyFill="1" applyBorder="1" applyAlignment="1">
      <alignment horizontal="left" vertical="center"/>
    </xf>
    <xf numFmtId="0" fontId="146" fillId="0" borderId="226" xfId="1" applyFont="1" applyFill="1" applyBorder="1" applyAlignment="1">
      <alignment horizontal="left" vertical="center"/>
    </xf>
    <xf numFmtId="0" fontId="54" fillId="2" borderId="226" xfId="1" applyFont="1" applyFill="1" applyBorder="1" applyAlignment="1">
      <alignment horizontal="left" vertical="center"/>
    </xf>
    <xf numFmtId="0" fontId="65" fillId="2" borderId="228" xfId="1" applyFont="1" applyFill="1" applyBorder="1" applyAlignment="1">
      <alignment horizontal="left" vertical="center"/>
    </xf>
    <xf numFmtId="0" fontId="145" fillId="47" borderId="147" xfId="15" applyFont="1" applyFill="1" applyBorder="1" applyAlignment="1">
      <alignment horizontal="left" vertical="center"/>
    </xf>
    <xf numFmtId="0" fontId="145" fillId="47" borderId="225" xfId="15" applyFont="1" applyFill="1" applyBorder="1" applyAlignment="1">
      <alignment horizontal="left" vertical="center"/>
    </xf>
    <xf numFmtId="0" fontId="54" fillId="32" borderId="226" xfId="1" applyFont="1" applyFill="1" applyBorder="1" applyAlignment="1">
      <alignment vertical="center"/>
    </xf>
    <xf numFmtId="0" fontId="65" fillId="2" borderId="226" xfId="1" applyFont="1" applyFill="1" applyBorder="1" applyAlignment="1">
      <alignment horizontal="left" vertical="center"/>
    </xf>
    <xf numFmtId="0" fontId="146" fillId="0" borderId="226" xfId="1" applyFont="1" applyFill="1" applyBorder="1" applyAlignment="1">
      <alignment vertical="center"/>
    </xf>
    <xf numFmtId="0" fontId="65" fillId="38" borderId="226" xfId="1" applyFont="1" applyFill="1" applyBorder="1" applyAlignment="1">
      <alignment horizontal="left" vertical="center"/>
    </xf>
    <xf numFmtId="0" fontId="65" fillId="0" borderId="225" xfId="1" applyFont="1" applyFill="1" applyBorder="1" applyAlignment="1">
      <alignment horizontal="left" vertical="center"/>
    </xf>
    <xf numFmtId="0" fontId="65" fillId="4" borderId="223" xfId="1" applyFont="1" applyFill="1" applyBorder="1" applyAlignment="1">
      <alignment horizontal="left" vertical="center"/>
    </xf>
    <xf numFmtId="0" fontId="65" fillId="4" borderId="226" xfId="1" applyFont="1" applyFill="1" applyBorder="1" applyAlignment="1">
      <alignment horizontal="left" vertical="center"/>
    </xf>
    <xf numFmtId="3" fontId="54" fillId="0" borderId="226" xfId="1" applyNumberFormat="1" applyFont="1" applyFill="1" applyBorder="1" applyAlignment="1">
      <alignment horizontal="left" vertical="center"/>
    </xf>
    <xf numFmtId="0" fontId="145" fillId="38" borderId="8" xfId="15" applyFont="1" applyFill="1" applyBorder="1" applyAlignment="1">
      <alignment horizontal="left" vertical="center"/>
    </xf>
    <xf numFmtId="0" fontId="55" fillId="0" borderId="230" xfId="1" applyFont="1" applyFill="1" applyBorder="1" applyAlignment="1">
      <alignment horizontal="left" vertical="center"/>
    </xf>
    <xf numFmtId="169" fontId="147" fillId="0" borderId="48" xfId="1" applyNumberFormat="1" applyFont="1" applyFill="1" applyBorder="1" applyAlignment="1">
      <alignment horizontal="right" vertical="center"/>
    </xf>
    <xf numFmtId="3" fontId="161" fillId="4" borderId="6" xfId="1" applyNumberFormat="1" applyFont="1" applyFill="1" applyBorder="1" applyAlignment="1">
      <alignment horizontal="center" vertical="center"/>
    </xf>
    <xf numFmtId="3" fontId="147" fillId="0" borderId="100" xfId="1" applyNumberFormat="1" applyFont="1" applyFill="1" applyBorder="1" applyAlignment="1">
      <alignment horizontal="center" vertical="center"/>
    </xf>
    <xf numFmtId="169" fontId="147" fillId="0" borderId="198" xfId="1" applyNumberFormat="1" applyFont="1" applyFill="1" applyBorder="1" applyAlignment="1">
      <alignment horizontal="right" vertical="center"/>
    </xf>
    <xf numFmtId="3" fontId="147" fillId="0" borderId="213" xfId="1" applyNumberFormat="1" applyFont="1" applyFill="1" applyBorder="1" applyAlignment="1">
      <alignment horizontal="center" vertical="center"/>
    </xf>
    <xf numFmtId="3" fontId="147" fillId="0" borderId="59" xfId="1" applyNumberFormat="1" applyFont="1" applyFill="1" applyBorder="1" applyAlignment="1">
      <alignment horizontal="center" vertical="center"/>
    </xf>
    <xf numFmtId="3" fontId="147" fillId="0" borderId="95" xfId="1" applyNumberFormat="1" applyFont="1" applyFill="1" applyBorder="1" applyAlignment="1">
      <alignment horizontal="center" vertical="center"/>
    </xf>
    <xf numFmtId="0" fontId="122" fillId="4" borderId="222" xfId="1" applyFont="1" applyFill="1" applyBorder="1" applyAlignment="1">
      <alignment horizontal="center" vertical="center"/>
    </xf>
    <xf numFmtId="0" fontId="54" fillId="0" borderId="222" xfId="1" applyFont="1" applyFill="1" applyBorder="1" applyAlignment="1">
      <alignment vertical="center"/>
    </xf>
    <xf numFmtId="0" fontId="122" fillId="0" borderId="222" xfId="1" applyFont="1" applyFill="1" applyBorder="1" applyAlignment="1">
      <alignment horizontal="center" vertical="center"/>
    </xf>
    <xf numFmtId="0" fontId="54" fillId="0" borderId="222" xfId="1" applyFont="1" applyFill="1" applyBorder="1" applyAlignment="1">
      <alignment horizontal="left" vertical="center"/>
    </xf>
    <xf numFmtId="169" fontId="54" fillId="4" borderId="220" xfId="1" applyNumberFormat="1" applyFont="1" applyFill="1" applyBorder="1" applyAlignment="1">
      <alignment horizontal="right" vertical="center"/>
    </xf>
    <xf numFmtId="169" fontId="54" fillId="0" borderId="136" xfId="1" applyNumberFormat="1" applyFont="1" applyFill="1" applyBorder="1" applyAlignment="1">
      <alignment horizontal="right" vertical="center"/>
    </xf>
    <xf numFmtId="0" fontId="162" fillId="6" borderId="17" xfId="1" applyFont="1" applyFill="1" applyBorder="1" applyAlignment="1">
      <alignment horizontal="center" vertical="center"/>
    </xf>
    <xf numFmtId="0" fontId="162" fillId="0" borderId="27" xfId="1" applyFont="1" applyFill="1" applyBorder="1" applyAlignment="1">
      <alignment horizontal="center" vertical="center"/>
    </xf>
    <xf numFmtId="0" fontId="162" fillId="0" borderId="17" xfId="1" applyFont="1" applyFill="1" applyBorder="1" applyAlignment="1">
      <alignment horizontal="center" vertical="center"/>
    </xf>
    <xf numFmtId="0" fontId="162" fillId="0" borderId="23" xfId="1" applyFont="1" applyFill="1" applyBorder="1" applyAlignment="1">
      <alignment horizontal="center" vertical="center"/>
    </xf>
    <xf numFmtId="0" fontId="162" fillId="6" borderId="23" xfId="1" applyFont="1" applyFill="1" applyBorder="1" applyAlignment="1">
      <alignment horizontal="center" vertical="center"/>
    </xf>
    <xf numFmtId="0" fontId="162" fillId="7" borderId="17" xfId="1" applyFont="1" applyFill="1" applyBorder="1" applyAlignment="1">
      <alignment horizontal="center" vertical="center"/>
    </xf>
    <xf numFmtId="0" fontId="162" fillId="9" borderId="17" xfId="1" applyFont="1" applyFill="1" applyBorder="1" applyAlignment="1">
      <alignment horizontal="center" vertical="center"/>
    </xf>
    <xf numFmtId="0" fontId="162" fillId="8" borderId="17" xfId="1" applyFont="1" applyFill="1" applyBorder="1" applyAlignment="1">
      <alignment horizontal="center" vertical="center"/>
    </xf>
    <xf numFmtId="0" fontId="162" fillId="37" borderId="17" xfId="1" applyFont="1" applyFill="1" applyBorder="1" applyAlignment="1">
      <alignment horizontal="center" vertical="center"/>
    </xf>
    <xf numFmtId="0" fontId="162" fillId="16" borderId="23" xfId="1" applyFont="1" applyFill="1" applyBorder="1" applyAlignment="1">
      <alignment horizontal="center" vertical="center"/>
    </xf>
    <xf numFmtId="0" fontId="162" fillId="12" borderId="17" xfId="1" applyFont="1" applyFill="1" applyBorder="1" applyAlignment="1">
      <alignment horizontal="center" vertical="center"/>
    </xf>
    <xf numFmtId="0" fontId="162" fillId="16" borderId="17" xfId="1" applyFont="1" applyFill="1" applyBorder="1" applyAlignment="1">
      <alignment horizontal="center" vertical="center"/>
    </xf>
    <xf numFmtId="0" fontId="162" fillId="16" borderId="30" xfId="1" applyFont="1" applyFill="1" applyBorder="1" applyAlignment="1">
      <alignment horizontal="center" vertical="center"/>
    </xf>
    <xf numFmtId="0" fontId="162" fillId="19" borderId="17" xfId="1" applyFont="1" applyFill="1" applyBorder="1" applyAlignment="1">
      <alignment horizontal="center" vertical="center"/>
    </xf>
    <xf numFmtId="0" fontId="162" fillId="3" borderId="30" xfId="1" applyFont="1" applyFill="1" applyBorder="1" applyAlignment="1">
      <alignment horizontal="center" vertical="center"/>
    </xf>
    <xf numFmtId="0" fontId="162" fillId="3" borderId="23" xfId="1" applyFont="1" applyFill="1" applyBorder="1" applyAlignment="1">
      <alignment horizontal="center" vertical="center"/>
    </xf>
    <xf numFmtId="0" fontId="162" fillId="3" borderId="17" xfId="1" applyFont="1" applyFill="1" applyBorder="1" applyAlignment="1">
      <alignment horizontal="center" vertical="center"/>
    </xf>
    <xf numFmtId="0" fontId="162" fillId="29" borderId="17" xfId="1" applyFont="1" applyFill="1" applyBorder="1" applyAlignment="1">
      <alignment horizontal="center" vertical="center"/>
    </xf>
    <xf numFmtId="0" fontId="162" fillId="27" borderId="17" xfId="1" applyFont="1" applyFill="1" applyBorder="1" applyAlignment="1">
      <alignment horizontal="center" vertical="center"/>
    </xf>
    <xf numFmtId="0" fontId="162" fillId="28" borderId="17" xfId="1" applyFont="1" applyFill="1" applyBorder="1" applyAlignment="1">
      <alignment horizontal="center" vertical="center"/>
    </xf>
    <xf numFmtId="0" fontId="162" fillId="29" borderId="35" xfId="1" applyFont="1" applyFill="1" applyBorder="1" applyAlignment="1">
      <alignment horizontal="center" vertical="center"/>
    </xf>
    <xf numFmtId="0" fontId="162" fillId="0" borderId="0" xfId="1" applyFont="1" applyFill="1" applyBorder="1" applyAlignment="1">
      <alignment horizontal="left" vertical="center"/>
    </xf>
    <xf numFmtId="0" fontId="164" fillId="0" borderId="0" xfId="1" applyFont="1" applyFill="1" applyBorder="1" applyAlignment="1">
      <alignment horizontal="left" vertical="center"/>
    </xf>
    <xf numFmtId="0" fontId="149" fillId="0" borderId="0" xfId="1" applyFont="1" applyFill="1" applyBorder="1" applyAlignment="1">
      <alignment horizontal="left" vertical="center"/>
    </xf>
    <xf numFmtId="0" fontId="145" fillId="0" borderId="5" xfId="15" applyFont="1" applyFill="1" applyBorder="1" applyAlignment="1">
      <alignment vertical="center"/>
    </xf>
    <xf numFmtId="0" fontId="54" fillId="0" borderId="138" xfId="1" applyFont="1" applyFill="1" applyBorder="1" applyAlignment="1">
      <alignment horizontal="left" vertical="center"/>
    </xf>
    <xf numFmtId="0" fontId="145" fillId="0" borderId="110" xfId="15" applyFont="1" applyFill="1" applyBorder="1" applyAlignment="1">
      <alignment horizontal="left" vertical="center"/>
    </xf>
    <xf numFmtId="0" fontId="145" fillId="38" borderId="92" xfId="15" applyFont="1" applyFill="1" applyBorder="1" applyAlignment="1">
      <alignment horizontal="left" vertical="center"/>
    </xf>
    <xf numFmtId="0" fontId="145" fillId="47" borderId="5" xfId="15" applyFont="1" applyFill="1" applyBorder="1" applyAlignment="1">
      <alignment horizontal="left" vertical="center"/>
    </xf>
    <xf numFmtId="0" fontId="54" fillId="0" borderId="68" xfId="1" applyFont="1" applyFill="1" applyBorder="1" applyAlignment="1">
      <alignment horizontal="left" vertical="center"/>
    </xf>
    <xf numFmtId="0" fontId="145" fillId="0" borderId="101" xfId="15" applyFont="1" applyFill="1" applyBorder="1" applyAlignment="1">
      <alignment horizontal="left" vertical="center"/>
    </xf>
    <xf numFmtId="0" fontId="65" fillId="0" borderId="68" xfId="1" applyFont="1" applyFill="1" applyBorder="1" applyAlignment="1">
      <alignment horizontal="left" vertical="center"/>
    </xf>
    <xf numFmtId="0" fontId="81" fillId="0" borderId="94" xfId="1" applyFont="1" applyFill="1" applyBorder="1" applyAlignment="1">
      <alignment horizontal="left" vertical="center"/>
    </xf>
    <xf numFmtId="0" fontId="65" fillId="0" borderId="94" xfId="1" applyFont="1" applyFill="1" applyBorder="1" applyAlignment="1">
      <alignment horizontal="left" vertical="center"/>
    </xf>
    <xf numFmtId="0" fontId="23" fillId="0" borderId="4" xfId="15" applyFont="1" applyFill="1" applyBorder="1" applyAlignment="1">
      <alignment horizontal="left" vertical="center"/>
    </xf>
    <xf numFmtId="0" fontId="115" fillId="6" borderId="113" xfId="1" applyFont="1" applyFill="1" applyBorder="1" applyAlignment="1">
      <alignment horizontal="center" vertical="center"/>
    </xf>
    <xf numFmtId="0" fontId="113" fillId="9" borderId="17" xfId="1" applyFont="1" applyFill="1" applyBorder="1" applyAlignment="1">
      <alignment horizontal="center" vertical="center"/>
    </xf>
    <xf numFmtId="0" fontId="162" fillId="33" borderId="17" xfId="1" applyFont="1" applyFill="1" applyBorder="1" applyAlignment="1">
      <alignment horizontal="center" vertical="center"/>
    </xf>
    <xf numFmtId="0" fontId="113" fillId="15" borderId="30" xfId="1" applyFont="1" applyFill="1" applyBorder="1" applyAlignment="1">
      <alignment horizontal="center" vertical="center"/>
    </xf>
    <xf numFmtId="0" fontId="23" fillId="0" borderId="0" xfId="15" applyFill="1" applyBorder="1" applyAlignment="1">
      <alignment horizontal="left" vertical="center"/>
    </xf>
    <xf numFmtId="0" fontId="2" fillId="6" borderId="0" xfId="1" applyFont="1" applyFill="1" applyBorder="1" applyAlignment="1">
      <alignment horizontal="left" vertical="center"/>
    </xf>
    <xf numFmtId="0" fontId="23" fillId="10" borderId="0" xfId="15" applyFont="1" applyFill="1" applyBorder="1" applyAlignment="1">
      <alignment horizontal="left" vertical="center"/>
    </xf>
    <xf numFmtId="0" fontId="23" fillId="36" borderId="8" xfId="15" applyFont="1" applyFill="1" applyBorder="1" applyAlignment="1">
      <alignment horizontal="left" vertical="center"/>
    </xf>
    <xf numFmtId="0" fontId="53" fillId="13" borderId="8" xfId="1" applyFont="1" applyFill="1" applyBorder="1" applyAlignment="1">
      <alignment horizontal="left" vertical="center"/>
    </xf>
    <xf numFmtId="0" fontId="116" fillId="33" borderId="2" xfId="1" applyFont="1" applyFill="1" applyBorder="1" applyAlignment="1">
      <alignment horizontal="center"/>
    </xf>
    <xf numFmtId="0" fontId="116" fillId="14" borderId="2" xfId="1" applyFont="1" applyFill="1" applyBorder="1" applyAlignment="1">
      <alignment horizontal="center"/>
    </xf>
    <xf numFmtId="0" fontId="116" fillId="13" borderId="88" xfId="1" applyFont="1" applyFill="1" applyBorder="1" applyAlignment="1">
      <alignment horizontal="center"/>
    </xf>
    <xf numFmtId="3" fontId="53" fillId="10" borderId="73" xfId="1" applyNumberFormat="1" applyFont="1" applyFill="1" applyBorder="1" applyAlignment="1">
      <alignment horizontal="left" vertical="center"/>
    </xf>
    <xf numFmtId="3" fontId="2" fillId="35" borderId="73" xfId="1" applyNumberFormat="1" applyFont="1" applyFill="1" applyBorder="1" applyAlignment="1">
      <alignment horizontal="left" vertical="center"/>
    </xf>
    <xf numFmtId="3" fontId="2" fillId="14" borderId="73" xfId="1" applyNumberFormat="1" applyFont="1" applyFill="1" applyBorder="1" applyAlignment="1">
      <alignment horizontal="left" vertical="center"/>
    </xf>
    <xf numFmtId="3" fontId="53" fillId="10" borderId="73" xfId="1" applyNumberFormat="1" applyFont="1" applyFill="1" applyBorder="1" applyAlignment="1">
      <alignment horizontal="center" vertical="center"/>
    </xf>
    <xf numFmtId="0" fontId="108" fillId="35" borderId="73" xfId="1" applyFont="1" applyFill="1" applyBorder="1" applyAlignment="1">
      <alignment horizontal="center" vertical="center"/>
    </xf>
    <xf numFmtId="0" fontId="108" fillId="15" borderId="73" xfId="1" applyFont="1" applyFill="1" applyBorder="1" applyAlignment="1">
      <alignment horizontal="center" vertical="center"/>
    </xf>
    <xf numFmtId="14" fontId="53" fillId="10" borderId="73" xfId="1" applyNumberFormat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3" fillId="0" borderId="181" xfId="1" applyFont="1" applyFill="1" applyBorder="1" applyAlignment="1">
      <alignment horizontal="center" vertical="center"/>
    </xf>
    <xf numFmtId="0" fontId="54" fillId="0" borderId="0" xfId="1" applyFont="1" applyFill="1" applyBorder="1" applyAlignment="1">
      <alignment vertical="center"/>
    </xf>
    <xf numFmtId="0" fontId="64" fillId="0" borderId="235" xfId="1" applyFont="1" applyFill="1" applyBorder="1" applyAlignment="1">
      <alignment horizontal="left" vertical="center"/>
    </xf>
    <xf numFmtId="3" fontId="18" fillId="0" borderId="235" xfId="1" applyNumberFormat="1" applyFont="1" applyFill="1" applyBorder="1" applyAlignment="1">
      <alignment horizontal="center" vertical="center"/>
    </xf>
    <xf numFmtId="3" fontId="18" fillId="0" borderId="236" xfId="1" applyNumberFormat="1" applyFont="1" applyFill="1" applyBorder="1" applyAlignment="1">
      <alignment horizontal="center" vertical="center"/>
    </xf>
    <xf numFmtId="3" fontId="18" fillId="0" borderId="233" xfId="1" applyNumberFormat="1" applyFont="1" applyFill="1" applyBorder="1" applyAlignment="1">
      <alignment horizontal="center" vertical="center"/>
    </xf>
    <xf numFmtId="0" fontId="64" fillId="0" borderId="232" xfId="1" applyFont="1" applyFill="1" applyBorder="1" applyAlignment="1">
      <alignment horizontal="left" vertical="center"/>
    </xf>
    <xf numFmtId="3" fontId="18" fillId="0" borderId="238" xfId="1" applyNumberFormat="1" applyFont="1" applyFill="1" applyBorder="1" applyAlignment="1">
      <alignment horizontal="center" vertical="center"/>
    </xf>
    <xf numFmtId="0" fontId="23" fillId="38" borderId="237" xfId="17" applyFill="1" applyBorder="1" applyAlignment="1">
      <alignment horizontal="left" vertical="center"/>
    </xf>
    <xf numFmtId="0" fontId="23" fillId="38" borderId="138" xfId="17" applyFill="1" applyBorder="1" applyAlignment="1">
      <alignment horizontal="left" vertical="center"/>
    </xf>
    <xf numFmtId="0" fontId="23" fillId="0" borderId="237" xfId="15" applyFill="1" applyBorder="1" applyAlignment="1">
      <alignment horizontal="left" vertical="center"/>
    </xf>
    <xf numFmtId="3" fontId="54" fillId="0" borderId="239" xfId="1" applyNumberFormat="1" applyFont="1" applyFill="1" applyBorder="1" applyAlignment="1">
      <alignment horizontal="center" vertical="center"/>
    </xf>
    <xf numFmtId="3" fontId="54" fillId="0" borderId="234" xfId="1" applyNumberFormat="1" applyFont="1" applyFill="1" applyBorder="1" applyAlignment="1">
      <alignment horizontal="center" vertical="center"/>
    </xf>
    <xf numFmtId="169" fontId="54" fillId="0" borderId="133" xfId="1" applyNumberFormat="1" applyFont="1" applyFill="1" applyBorder="1" applyAlignment="1">
      <alignment horizontal="right" vertical="center"/>
    </xf>
    <xf numFmtId="0" fontId="23" fillId="0" borderId="0" xfId="15" applyFill="1" applyBorder="1" applyAlignment="1">
      <alignment vertical="center"/>
    </xf>
    <xf numFmtId="0" fontId="122" fillId="0" borderId="232" xfId="1" applyFont="1" applyFill="1" applyBorder="1" applyAlignment="1">
      <alignment horizontal="center" vertical="center"/>
    </xf>
    <xf numFmtId="0" fontId="54" fillId="0" borderId="232" xfId="1" applyFont="1" applyFill="1" applyBorder="1" applyAlignment="1">
      <alignment horizontal="center" vertical="center"/>
    </xf>
    <xf numFmtId="169" fontId="54" fillId="0" borderId="133" xfId="1" applyNumberFormat="1" applyFont="1" applyFill="1" applyBorder="1" applyAlignment="1">
      <alignment vertical="center"/>
    </xf>
    <xf numFmtId="0" fontId="145" fillId="2" borderId="228" xfId="15" applyFont="1" applyFill="1" applyBorder="1" applyAlignment="1">
      <alignment horizontal="left" vertical="center"/>
    </xf>
    <xf numFmtId="0" fontId="145" fillId="28" borderId="229" xfId="15" applyFont="1" applyFill="1" applyBorder="1" applyAlignment="1">
      <alignment horizontal="left" vertical="center"/>
    </xf>
    <xf numFmtId="0" fontId="122" fillId="0" borderId="166" xfId="1" applyFont="1" applyFill="1" applyBorder="1" applyAlignment="1">
      <alignment horizontal="center" vertical="center"/>
    </xf>
    <xf numFmtId="3" fontId="54" fillId="0" borderId="233" xfId="1" applyNumberFormat="1" applyFont="1" applyFill="1" applyBorder="1" applyAlignment="1">
      <alignment horizontal="center" vertical="center"/>
    </xf>
    <xf numFmtId="0" fontId="145" fillId="0" borderId="228" xfId="15" applyFont="1" applyFill="1" applyBorder="1" applyAlignment="1">
      <alignment horizontal="left" vertical="center"/>
    </xf>
    <xf numFmtId="0" fontId="145" fillId="38" borderId="228" xfId="15" applyFont="1" applyFill="1" applyBorder="1" applyAlignment="1">
      <alignment horizontal="left" vertical="center"/>
    </xf>
    <xf numFmtId="0" fontId="145" fillId="2" borderId="226" xfId="15" applyFont="1" applyFill="1" applyBorder="1" applyAlignment="1">
      <alignment horizontal="left" vertical="center"/>
    </xf>
    <xf numFmtId="0" fontId="54" fillId="0" borderId="232" xfId="1" applyFont="1" applyFill="1" applyBorder="1" applyAlignment="1">
      <alignment vertical="center"/>
    </xf>
    <xf numFmtId="0" fontId="54" fillId="0" borderId="51" xfId="1" applyFont="1" applyFill="1" applyBorder="1" applyAlignment="1">
      <alignment horizontal="center" vertical="center"/>
    </xf>
    <xf numFmtId="0" fontId="147" fillId="0" borderId="232" xfId="1" applyFont="1" applyFill="1" applyBorder="1" applyAlignment="1">
      <alignment horizontal="left" vertical="center"/>
    </xf>
    <xf numFmtId="0" fontId="54" fillId="0" borderId="181" xfId="1" applyFont="1" applyFill="1" applyBorder="1" applyAlignment="1">
      <alignment horizontal="left" vertical="center"/>
    </xf>
    <xf numFmtId="169" fontId="54" fillId="0" borderId="148" xfId="1" applyNumberFormat="1" applyFont="1" applyFill="1" applyBorder="1" applyAlignment="1">
      <alignment horizontal="right" vertical="center"/>
    </xf>
    <xf numFmtId="0" fontId="145" fillId="2" borderId="229" xfId="15" applyFont="1" applyFill="1" applyBorder="1" applyAlignment="1">
      <alignment horizontal="left" vertical="center"/>
    </xf>
    <xf numFmtId="0" fontId="3" fillId="0" borderId="184" xfId="1" applyFont="1" applyFill="1" applyBorder="1" applyAlignment="1">
      <alignment horizontal="center" vertical="center"/>
    </xf>
    <xf numFmtId="0" fontId="3" fillId="0" borderId="40" xfId="1" applyFont="1" applyFill="1" applyBorder="1" applyAlignment="1">
      <alignment horizontal="center" vertical="center"/>
    </xf>
    <xf numFmtId="3" fontId="54" fillId="0" borderId="232" xfId="1" applyNumberFormat="1" applyFont="1" applyFill="1" applyBorder="1" applyAlignment="1">
      <alignment horizontal="left" vertical="center"/>
    </xf>
    <xf numFmtId="0" fontId="65" fillId="0" borderId="232" xfId="1" applyFont="1" applyFill="1" applyBorder="1" applyAlignment="1">
      <alignment horizontal="left" vertical="center"/>
    </xf>
    <xf numFmtId="0" fontId="3" fillId="0" borderId="166" xfId="1" applyFont="1" applyFill="1" applyBorder="1" applyAlignment="1">
      <alignment horizontal="center" vertical="center"/>
    </xf>
    <xf numFmtId="0" fontId="147" fillId="0" borderId="51" xfId="1" applyFont="1" applyFill="1" applyBorder="1" applyAlignment="1">
      <alignment horizontal="left" vertical="center"/>
    </xf>
    <xf numFmtId="0" fontId="65" fillId="0" borderId="19" xfId="1" applyFont="1" applyFill="1" applyBorder="1" applyAlignment="1">
      <alignment horizontal="left" vertical="center"/>
    </xf>
    <xf numFmtId="169" fontId="65" fillId="0" borderId="195" xfId="1" applyNumberFormat="1" applyFont="1" applyFill="1" applyBorder="1" applyAlignment="1">
      <alignment horizontal="right" vertical="center"/>
    </xf>
    <xf numFmtId="3" fontId="65" fillId="0" borderId="234" xfId="1" applyNumberFormat="1" applyFont="1" applyFill="1" applyBorder="1" applyAlignment="1">
      <alignment horizontal="center" vertical="center"/>
    </xf>
    <xf numFmtId="0" fontId="145" fillId="4" borderId="228" xfId="15" applyFont="1" applyFill="1" applyBorder="1" applyAlignment="1">
      <alignment horizontal="left" vertical="center"/>
    </xf>
    <xf numFmtId="0" fontId="54" fillId="4" borderId="141" xfId="1" applyFont="1" applyFill="1" applyBorder="1" applyAlignment="1">
      <alignment horizontal="center" vertical="center"/>
    </xf>
    <xf numFmtId="169" fontId="147" fillId="0" borderId="98" xfId="1" applyNumberFormat="1" applyFont="1" applyFill="1" applyBorder="1" applyAlignment="1">
      <alignment horizontal="right" vertical="center"/>
    </xf>
    <xf numFmtId="0" fontId="54" fillId="0" borderId="94" xfId="1" applyFont="1" applyFill="1" applyBorder="1" applyAlignment="1">
      <alignment horizontal="center" vertical="center"/>
    </xf>
    <xf numFmtId="169" fontId="54" fillId="4" borderId="231" xfId="1" applyNumberFormat="1" applyFont="1" applyFill="1" applyBorder="1" applyAlignment="1">
      <alignment horizontal="right" vertical="center"/>
    </xf>
    <xf numFmtId="3" fontId="3" fillId="4" borderId="234" xfId="1" applyNumberFormat="1" applyFont="1" applyFill="1" applyBorder="1" applyAlignment="1">
      <alignment horizontal="center" vertical="center"/>
    </xf>
    <xf numFmtId="0" fontId="54" fillId="0" borderId="0" xfId="1" applyFont="1" applyFill="1" applyBorder="1" applyAlignment="1">
      <alignment vertical="center"/>
    </xf>
    <xf numFmtId="0" fontId="162" fillId="44" borderId="33" xfId="1" applyFont="1" applyFill="1" applyBorder="1" applyAlignment="1">
      <alignment horizontal="center" vertical="center"/>
    </xf>
    <xf numFmtId="0" fontId="23" fillId="44" borderId="0" xfId="15" applyFont="1" applyFill="1" applyBorder="1" applyAlignment="1">
      <alignment horizontal="left" vertical="center"/>
    </xf>
    <xf numFmtId="0" fontId="23" fillId="2" borderId="0" xfId="15" applyFont="1" applyFill="1" applyBorder="1" applyAlignment="1">
      <alignment horizontal="left" vertical="center"/>
    </xf>
    <xf numFmtId="0" fontId="115" fillId="44" borderId="2" xfId="1" applyFont="1" applyFill="1" applyBorder="1" applyAlignment="1">
      <alignment horizontal="center" vertical="center"/>
    </xf>
    <xf numFmtId="0" fontId="113" fillId="10" borderId="17" xfId="1" applyFont="1" applyFill="1" applyBorder="1" applyAlignment="1">
      <alignment horizontal="center" vertical="center"/>
    </xf>
    <xf numFmtId="0" fontId="113" fillId="36" borderId="17" xfId="1" applyFont="1" applyFill="1" applyBorder="1" applyAlignment="1">
      <alignment horizontal="center" vertical="center"/>
    </xf>
    <xf numFmtId="0" fontId="162" fillId="15" borderId="23" xfId="1" applyFont="1" applyFill="1" applyBorder="1" applyAlignment="1">
      <alignment horizontal="center" vertical="center"/>
    </xf>
    <xf numFmtId="0" fontId="163" fillId="12" borderId="23" xfId="1" applyFont="1" applyFill="1" applyBorder="1" applyAlignment="1">
      <alignment horizontal="center" vertical="center"/>
    </xf>
    <xf numFmtId="0" fontId="162" fillId="14" borderId="17" xfId="1" applyFont="1" applyFill="1" applyBorder="1" applyAlignment="1">
      <alignment horizontal="center" vertical="center"/>
    </xf>
    <xf numFmtId="0" fontId="113" fillId="26" borderId="17" xfId="1" applyFont="1" applyFill="1" applyBorder="1" applyAlignment="1">
      <alignment horizontal="center" vertical="center"/>
    </xf>
    <xf numFmtId="0" fontId="162" fillId="19" borderId="23" xfId="1" applyFont="1" applyFill="1" applyBorder="1" applyAlignment="1">
      <alignment horizontal="center" vertical="center"/>
    </xf>
    <xf numFmtId="0" fontId="113" fillId="21" borderId="30" xfId="1" applyFont="1" applyFill="1" applyBorder="1" applyAlignment="1">
      <alignment horizontal="center" vertical="center"/>
    </xf>
    <xf numFmtId="0" fontId="113" fillId="3" borderId="27" xfId="1" applyFont="1" applyFill="1" applyBorder="1" applyAlignment="1">
      <alignment horizontal="center" vertical="center"/>
    </xf>
    <xf numFmtId="0" fontId="2" fillId="9" borderId="0" xfId="15" applyFont="1" applyFill="1" applyBorder="1" applyAlignment="1">
      <alignment horizontal="left" vertical="center"/>
    </xf>
    <xf numFmtId="0" fontId="53" fillId="9" borderId="0" xfId="1" applyFont="1" applyFill="1" applyBorder="1" applyAlignment="1">
      <alignment horizontal="left" vertical="center"/>
    </xf>
    <xf numFmtId="0" fontId="2" fillId="10" borderId="0" xfId="1" applyFont="1" applyFill="1" applyBorder="1" applyAlignment="1">
      <alignment horizontal="left" vertical="center"/>
    </xf>
    <xf numFmtId="0" fontId="23" fillId="36" borderId="0" xfId="15" applyFont="1" applyFill="1" applyBorder="1" applyAlignment="1">
      <alignment horizontal="left" vertical="center"/>
    </xf>
    <xf numFmtId="0" fontId="53" fillId="15" borderId="87" xfId="1" applyFont="1" applyFill="1" applyBorder="1" applyAlignment="1">
      <alignment horizontal="left" vertical="center"/>
    </xf>
    <xf numFmtId="0" fontId="112" fillId="13" borderId="0" xfId="0" applyFont="1" applyFill="1" applyBorder="1"/>
    <xf numFmtId="0" fontId="107" fillId="19" borderId="8" xfId="1" applyFont="1" applyFill="1" applyBorder="1" applyAlignment="1">
      <alignment horizontal="left" vertical="center"/>
    </xf>
    <xf numFmtId="0" fontId="107" fillId="19" borderId="87" xfId="1" applyFont="1" applyFill="1" applyBorder="1" applyAlignment="1">
      <alignment horizontal="left" vertical="center"/>
    </xf>
    <xf numFmtId="0" fontId="23" fillId="21" borderId="87" xfId="15" applyFont="1" applyFill="1" applyBorder="1" applyAlignment="1">
      <alignment horizontal="left" vertical="center"/>
    </xf>
    <xf numFmtId="0" fontId="53" fillId="19" borderId="8" xfId="1" applyFont="1" applyFill="1" applyBorder="1" applyAlignment="1">
      <alignment horizontal="left" vertical="center"/>
    </xf>
    <xf numFmtId="0" fontId="23" fillId="42" borderId="8" xfId="15" applyFont="1" applyFill="1" applyBorder="1" applyAlignment="1">
      <alignment horizontal="left" vertical="center"/>
    </xf>
    <xf numFmtId="0" fontId="127" fillId="24" borderId="87" xfId="15" applyFont="1" applyFill="1" applyBorder="1" applyAlignment="1">
      <alignment horizontal="left" vertical="center"/>
    </xf>
    <xf numFmtId="0" fontId="53" fillId="23" borderId="87" xfId="1" applyFont="1" applyFill="1" applyBorder="1" applyAlignment="1">
      <alignment horizontal="left" vertical="center"/>
    </xf>
    <xf numFmtId="0" fontId="107" fillId="25" borderId="0" xfId="1" applyFont="1" applyFill="1" applyBorder="1" applyAlignment="1">
      <alignment horizontal="left" vertical="center"/>
    </xf>
    <xf numFmtId="0" fontId="127" fillId="22" borderId="4" xfId="15" applyFont="1" applyFill="1" applyBorder="1" applyAlignment="1">
      <alignment horizontal="left" vertical="center"/>
    </xf>
    <xf numFmtId="0" fontId="2" fillId="22" borderId="0" xfId="15" applyFont="1" applyFill="1" applyBorder="1" applyAlignment="1">
      <alignment horizontal="left" vertical="center"/>
    </xf>
    <xf numFmtId="0" fontId="116" fillId="6" borderId="8" xfId="1" applyFont="1" applyFill="1" applyBorder="1" applyAlignment="1">
      <alignment horizontal="center"/>
    </xf>
    <xf numFmtId="0" fontId="115" fillId="35" borderId="0" xfId="1" applyFont="1" applyFill="1" applyBorder="1" applyAlignment="1">
      <alignment horizontal="center"/>
    </xf>
    <xf numFmtId="0" fontId="115" fillId="35" borderId="0" xfId="1" applyFont="1" applyFill="1" applyBorder="1" applyAlignment="1">
      <alignment horizontal="center" vertical="center"/>
    </xf>
    <xf numFmtId="0" fontId="115" fillId="36" borderId="2" xfId="1" applyFont="1" applyFill="1" applyBorder="1" applyAlignment="1">
      <alignment horizontal="center"/>
    </xf>
    <xf numFmtId="0" fontId="116" fillId="36" borderId="24" xfId="1" applyFont="1" applyFill="1" applyBorder="1" applyAlignment="1">
      <alignment horizontal="center"/>
    </xf>
    <xf numFmtId="0" fontId="116" fillId="11" borderId="2" xfId="1" applyFont="1" applyFill="1" applyBorder="1" applyAlignment="1">
      <alignment horizontal="center"/>
    </xf>
    <xf numFmtId="0" fontId="115" fillId="15" borderId="88" xfId="1" applyFont="1" applyFill="1" applyBorder="1" applyAlignment="1">
      <alignment horizontal="center"/>
    </xf>
    <xf numFmtId="0" fontId="115" fillId="22" borderId="19" xfId="1" applyFont="1" applyFill="1" applyBorder="1" applyAlignment="1">
      <alignment horizontal="center" vertical="center"/>
    </xf>
    <xf numFmtId="3" fontId="53" fillId="15" borderId="79" xfId="1" applyNumberFormat="1" applyFont="1" applyFill="1" applyBorder="1" applyAlignment="1">
      <alignment horizontal="left" vertical="center"/>
    </xf>
    <xf numFmtId="3" fontId="2" fillId="19" borderId="73" xfId="1" applyNumberFormat="1" applyFont="1" applyFill="1" applyBorder="1" applyAlignment="1">
      <alignment horizontal="left" vertical="center"/>
    </xf>
    <xf numFmtId="3" fontId="53" fillId="42" borderId="82" xfId="1" applyNumberFormat="1" applyFont="1" applyFill="1" applyBorder="1" applyAlignment="1">
      <alignment horizontal="left" vertical="center"/>
    </xf>
    <xf numFmtId="3" fontId="108" fillId="7" borderId="73" xfId="1" applyNumberFormat="1" applyFont="1" applyFill="1" applyBorder="1" applyAlignment="1">
      <alignment horizontal="center" vertical="center"/>
    </xf>
    <xf numFmtId="3" fontId="53" fillId="34" borderId="82" xfId="1" applyNumberFormat="1" applyFont="1" applyFill="1" applyBorder="1" applyAlignment="1">
      <alignment horizontal="center" vertical="center"/>
    </xf>
    <xf numFmtId="3" fontId="53" fillId="15" borderId="79" xfId="1" applyNumberFormat="1" applyFont="1" applyFill="1" applyBorder="1" applyAlignment="1">
      <alignment horizontal="center" vertical="center"/>
    </xf>
    <xf numFmtId="3" fontId="53" fillId="21" borderId="26" xfId="1" applyNumberFormat="1" applyFont="1" applyFill="1" applyBorder="1" applyAlignment="1">
      <alignment horizontal="center" vertical="center"/>
    </xf>
    <xf numFmtId="3" fontId="53" fillId="42" borderId="82" xfId="1" applyNumberFormat="1" applyFont="1" applyFill="1" applyBorder="1" applyAlignment="1">
      <alignment horizontal="center" vertical="center"/>
    </xf>
    <xf numFmtId="0" fontId="113" fillId="7" borderId="73" xfId="1" applyFont="1" applyFill="1" applyBorder="1" applyAlignment="1">
      <alignment horizontal="center" vertical="center"/>
    </xf>
    <xf numFmtId="0" fontId="2" fillId="34" borderId="82" xfId="1" applyFont="1" applyFill="1" applyBorder="1" applyAlignment="1">
      <alignment horizontal="center" vertical="center"/>
    </xf>
    <xf numFmtId="0" fontId="2" fillId="15" borderId="79" xfId="1" applyFont="1" applyFill="1" applyBorder="1" applyAlignment="1">
      <alignment horizontal="center" vertical="center"/>
    </xf>
    <xf numFmtId="0" fontId="108" fillId="16" borderId="73" xfId="1" applyFont="1" applyFill="1" applyBorder="1" applyAlignment="1">
      <alignment horizontal="center" vertical="center"/>
    </xf>
    <xf numFmtId="0" fontId="2" fillId="21" borderId="26" xfId="1" applyFont="1" applyFill="1" applyBorder="1" applyAlignment="1">
      <alignment horizontal="center" vertical="center"/>
    </xf>
    <xf numFmtId="0" fontId="108" fillId="42" borderId="82" xfId="1" applyFont="1" applyFill="1" applyBorder="1" applyAlignment="1">
      <alignment horizontal="center" vertical="center"/>
    </xf>
    <xf numFmtId="0" fontId="108" fillId="21" borderId="73" xfId="1" applyFont="1" applyFill="1" applyBorder="1" applyAlignment="1">
      <alignment horizontal="center" vertical="center"/>
    </xf>
    <xf numFmtId="14" fontId="53" fillId="15" borderId="79" xfId="1" applyNumberFormat="1" applyFont="1" applyFill="1" applyBorder="1" applyAlignment="1">
      <alignment horizontal="center" vertical="center"/>
    </xf>
    <xf numFmtId="14" fontId="53" fillId="42" borderId="82" xfId="1" applyNumberFormat="1" applyFont="1" applyFill="1" applyBorder="1" applyAlignment="1">
      <alignment horizontal="center" vertical="center"/>
    </xf>
    <xf numFmtId="2" fontId="53" fillId="20" borderId="207" xfId="1" applyNumberFormat="1" applyFont="1" applyFill="1" applyBorder="1" applyAlignment="1">
      <alignment horizontal="center" vertical="center"/>
    </xf>
    <xf numFmtId="3" fontId="2" fillId="28" borderId="111" xfId="1" applyNumberFormat="1" applyFont="1" applyFill="1" applyBorder="1" applyAlignment="1">
      <alignment horizontal="center" vertical="center"/>
    </xf>
    <xf numFmtId="172" fontId="55" fillId="0" borderId="0" xfId="1" applyNumberFormat="1" applyFont="1" applyFill="1" applyBorder="1" applyAlignment="1">
      <alignment horizontal="center" vertical="center"/>
    </xf>
    <xf numFmtId="0" fontId="145" fillId="0" borderId="240" xfId="15" applyFont="1" applyFill="1" applyBorder="1" applyAlignment="1">
      <alignment horizontal="left" vertical="center"/>
    </xf>
    <xf numFmtId="0" fontId="55" fillId="0" borderId="242" xfId="1" applyFont="1" applyFill="1" applyBorder="1" applyAlignment="1">
      <alignment horizontal="left" vertical="center"/>
    </xf>
    <xf numFmtId="0" fontId="109" fillId="0" borderId="73" xfId="15" applyFont="1" applyFill="1" applyBorder="1" applyAlignment="1">
      <alignment horizontal="center" vertical="center"/>
    </xf>
    <xf numFmtId="0" fontId="122" fillId="0" borderId="244" xfId="1" applyFont="1" applyFill="1" applyBorder="1" applyAlignment="1">
      <alignment horizontal="center" vertical="center"/>
    </xf>
    <xf numFmtId="3" fontId="54" fillId="0" borderId="243" xfId="1" applyNumberFormat="1" applyFont="1" applyFill="1" applyBorder="1" applyAlignment="1">
      <alignment horizontal="center" vertical="center"/>
    </xf>
    <xf numFmtId="3" fontId="65" fillId="0" borderId="243" xfId="1" applyNumberFormat="1" applyFont="1" applyFill="1" applyBorder="1" applyAlignment="1">
      <alignment horizontal="center" vertical="center"/>
    </xf>
    <xf numFmtId="0" fontId="145" fillId="53" borderId="229" xfId="15" applyFont="1" applyFill="1" applyBorder="1" applyAlignment="1">
      <alignment horizontal="left" vertical="center"/>
    </xf>
    <xf numFmtId="3" fontId="147" fillId="0" borderId="243" xfId="1" applyNumberFormat="1" applyFont="1" applyFill="1" applyBorder="1" applyAlignment="1">
      <alignment horizontal="center" vertical="center"/>
    </xf>
    <xf numFmtId="0" fontId="65" fillId="0" borderId="244" xfId="1" applyFont="1" applyFill="1" applyBorder="1" applyAlignment="1">
      <alignment horizontal="left" vertical="center"/>
    </xf>
    <xf numFmtId="0" fontId="146" fillId="0" borderId="113" xfId="1" applyFont="1" applyFill="1" applyBorder="1" applyAlignment="1">
      <alignment vertical="center"/>
    </xf>
    <xf numFmtId="0" fontId="122" fillId="0" borderId="217" xfId="1" applyFont="1" applyFill="1" applyBorder="1" applyAlignment="1">
      <alignment horizontal="center" vertical="center"/>
    </xf>
    <xf numFmtId="0" fontId="65" fillId="0" borderId="217" xfId="1" applyFont="1" applyFill="1" applyBorder="1" applyAlignment="1">
      <alignment horizontal="left" vertical="center"/>
    </xf>
    <xf numFmtId="0" fontId="122" fillId="0" borderId="113" xfId="1" applyFont="1" applyFill="1" applyBorder="1" applyAlignment="1">
      <alignment horizontal="center" vertical="center"/>
    </xf>
    <xf numFmtId="0" fontId="146" fillId="0" borderId="4" xfId="1" applyFont="1" applyFill="1" applyBorder="1" applyAlignment="1">
      <alignment vertical="center"/>
    </xf>
    <xf numFmtId="0" fontId="65" fillId="0" borderId="241" xfId="1" applyFont="1" applyFill="1" applyBorder="1" applyAlignment="1">
      <alignment horizontal="left" vertical="center"/>
    </xf>
    <xf numFmtId="3" fontId="161" fillId="32" borderId="6" xfId="1" applyNumberFormat="1" applyFont="1" applyFill="1" applyBorder="1" applyAlignment="1">
      <alignment horizontal="center" vertical="center"/>
    </xf>
    <xf numFmtId="3" fontId="161" fillId="4" borderId="1" xfId="1" applyNumberFormat="1" applyFont="1" applyFill="1" applyBorder="1" applyAlignment="1">
      <alignment horizontal="center" vertical="center"/>
    </xf>
    <xf numFmtId="0" fontId="152" fillId="0" borderId="240" xfId="0" applyFont="1" applyBorder="1"/>
    <xf numFmtId="0" fontId="146" fillId="0" borderId="244" xfId="1" applyFont="1" applyFill="1" applyBorder="1" applyAlignment="1">
      <alignment vertical="center"/>
    </xf>
    <xf numFmtId="0" fontId="152" fillId="0" borderId="226" xfId="0" applyFont="1" applyBorder="1"/>
    <xf numFmtId="0" fontId="145" fillId="0" borderId="229" xfId="15" applyFont="1" applyFill="1" applyBorder="1" applyAlignment="1">
      <alignment vertical="center"/>
    </xf>
    <xf numFmtId="0" fontId="54" fillId="0" borderId="244" xfId="1" applyFont="1" applyFill="1" applyBorder="1" applyAlignment="1">
      <alignment horizontal="left" vertical="center"/>
    </xf>
    <xf numFmtId="0" fontId="151" fillId="0" borderId="244" xfId="1" applyFont="1" applyFill="1" applyBorder="1" applyAlignment="1">
      <alignment horizontal="left" vertical="center"/>
    </xf>
    <xf numFmtId="0" fontId="122" fillId="4" borderId="8" xfId="1" applyFont="1" applyFill="1" applyBorder="1" applyAlignment="1">
      <alignment horizontal="center" vertical="center"/>
    </xf>
    <xf numFmtId="0" fontId="146" fillId="2" borderId="246" xfId="1" applyFont="1" applyFill="1" applyBorder="1" applyAlignment="1">
      <alignment horizontal="left" vertical="center"/>
    </xf>
    <xf numFmtId="0" fontId="145" fillId="0" borderId="156" xfId="15" applyFont="1" applyFill="1" applyBorder="1" applyAlignment="1">
      <alignment horizontal="left" vertical="center"/>
    </xf>
    <xf numFmtId="0" fontId="145" fillId="0" borderId="41" xfId="15" applyFont="1" applyFill="1" applyBorder="1" applyAlignment="1">
      <alignment horizontal="left" vertical="center"/>
    </xf>
    <xf numFmtId="0" fontId="145" fillId="0" borderId="55" xfId="15" applyFont="1" applyFill="1" applyBorder="1" applyAlignment="1">
      <alignment horizontal="left" vertical="center"/>
    </xf>
    <xf numFmtId="0" fontId="152" fillId="0" borderId="41" xfId="0" applyFont="1" applyBorder="1"/>
    <xf numFmtId="0" fontId="145" fillId="2" borderId="245" xfId="15" applyFont="1" applyFill="1" applyBorder="1" applyAlignment="1">
      <alignment horizontal="left" vertical="center"/>
    </xf>
    <xf numFmtId="0" fontId="145" fillId="0" borderId="202" xfId="15" applyFont="1" applyFill="1" applyBorder="1" applyAlignment="1">
      <alignment horizontal="left" vertical="center"/>
    </xf>
    <xf numFmtId="0" fontId="145" fillId="0" borderId="245" xfId="15" applyFont="1" applyFill="1" applyBorder="1" applyAlignment="1">
      <alignment horizontal="left" vertical="center"/>
    </xf>
    <xf numFmtId="0" fontId="145" fillId="0" borderId="245" xfId="15" applyFont="1" applyFill="1" applyBorder="1" applyAlignment="1">
      <alignment vertical="center"/>
    </xf>
    <xf numFmtId="0" fontId="145" fillId="53" borderId="245" xfId="15" applyFont="1" applyFill="1" applyBorder="1" applyAlignment="1">
      <alignment horizontal="left" vertical="center"/>
    </xf>
    <xf numFmtId="0" fontId="54" fillId="0" borderId="246" xfId="1" applyFont="1" applyFill="1" applyBorder="1" applyAlignment="1">
      <alignment horizontal="left" vertical="center"/>
    </xf>
    <xf numFmtId="0" fontId="152" fillId="0" borderId="246" xfId="0" applyFont="1" applyBorder="1"/>
    <xf numFmtId="0" fontId="54" fillId="0" borderId="245" xfId="1" applyFont="1" applyFill="1" applyBorder="1" applyAlignment="1">
      <alignment horizontal="left" vertical="center"/>
    </xf>
    <xf numFmtId="0" fontId="151" fillId="0" borderId="19" xfId="1" applyFont="1" applyFill="1" applyBorder="1" applyAlignment="1">
      <alignment horizontal="left" vertical="center"/>
    </xf>
    <xf numFmtId="0" fontId="145" fillId="2" borderId="41" xfId="15" applyFont="1" applyFill="1" applyBorder="1" applyAlignment="1">
      <alignment horizontal="left" vertical="center"/>
    </xf>
    <xf numFmtId="0" fontId="145" fillId="2" borderId="156" xfId="15" applyFont="1" applyFill="1" applyBorder="1" applyAlignment="1">
      <alignment horizontal="left" vertical="center"/>
    </xf>
    <xf numFmtId="0" fontId="145" fillId="2" borderId="55" xfId="15" applyFont="1" applyFill="1" applyBorder="1" applyAlignment="1">
      <alignment horizontal="left" vertical="center"/>
    </xf>
    <xf numFmtId="0" fontId="145" fillId="53" borderId="68" xfId="15" applyFont="1" applyFill="1" applyBorder="1" applyAlignment="1">
      <alignment horizontal="left" vertical="center"/>
    </xf>
    <xf numFmtId="0" fontId="54" fillId="0" borderId="0" xfId="1" applyFont="1" applyFill="1" applyBorder="1" applyAlignment="1">
      <alignment vertical="center"/>
    </xf>
    <xf numFmtId="0" fontId="145" fillId="28" borderId="245" xfId="15" applyFont="1" applyFill="1" applyBorder="1" applyAlignment="1">
      <alignment horizontal="left" vertical="center"/>
    </xf>
    <xf numFmtId="0" fontId="145" fillId="2" borderId="202" xfId="15" applyFont="1" applyFill="1" applyBorder="1" applyAlignment="1">
      <alignment horizontal="left" vertical="center"/>
    </xf>
    <xf numFmtId="0" fontId="146" fillId="2" borderId="245" xfId="1" applyFont="1" applyFill="1" applyBorder="1" applyAlignment="1">
      <alignment horizontal="left" vertical="center"/>
    </xf>
    <xf numFmtId="3" fontId="54" fillId="0" borderId="244" xfId="1" applyNumberFormat="1" applyFont="1" applyFill="1" applyBorder="1" applyAlignment="1">
      <alignment horizontal="left" vertical="center"/>
    </xf>
    <xf numFmtId="0" fontId="54" fillId="0" borderId="202" xfId="1" applyFont="1" applyFill="1" applyBorder="1" applyAlignment="1">
      <alignment horizontal="left" vertical="center"/>
    </xf>
    <xf numFmtId="0" fontId="54" fillId="0" borderId="244" xfId="1" applyFont="1" applyFill="1" applyBorder="1" applyAlignment="1">
      <alignment vertical="center"/>
    </xf>
    <xf numFmtId="0" fontId="146" fillId="0" borderId="0" xfId="1" applyFont="1" applyFill="1" applyBorder="1" applyAlignment="1">
      <alignment horizontal="left" vertical="center"/>
    </xf>
    <xf numFmtId="167" fontId="55" fillId="0" borderId="232" xfId="1" applyNumberFormat="1" applyFont="1" applyFill="1" applyBorder="1" applyAlignment="1">
      <alignment horizontal="center" vertical="center"/>
    </xf>
    <xf numFmtId="172" fontId="55" fillId="0" borderId="232" xfId="1" applyNumberFormat="1" applyFont="1" applyFill="1" applyBorder="1" applyAlignment="1">
      <alignment horizontal="center" vertical="center"/>
    </xf>
    <xf numFmtId="0" fontId="145" fillId="0" borderId="8" xfId="15" applyFont="1" applyFill="1" applyBorder="1" applyAlignment="1">
      <alignment vertical="center"/>
    </xf>
    <xf numFmtId="0" fontId="168" fillId="0" borderId="0" xfId="1" applyFont="1" applyFill="1" applyAlignment="1">
      <alignment vertical="center"/>
    </xf>
    <xf numFmtId="0" fontId="65" fillId="0" borderId="8" xfId="1" applyFont="1" applyFill="1" applyBorder="1" applyAlignment="1">
      <alignment horizontal="left" vertical="center"/>
    </xf>
    <xf numFmtId="0" fontId="150" fillId="0" borderId="247" xfId="1" applyFont="1" applyFill="1" applyBorder="1" applyAlignment="1">
      <alignment horizontal="left" vertical="center"/>
    </xf>
    <xf numFmtId="0" fontId="54" fillId="0" borderId="247" xfId="1" applyFont="1" applyFill="1" applyBorder="1" applyAlignment="1">
      <alignment vertical="center"/>
    </xf>
    <xf numFmtId="0" fontId="50" fillId="0" borderId="0" xfId="1" applyFont="1" applyFill="1" applyBorder="1" applyAlignment="1">
      <alignment vertical="center"/>
    </xf>
    <xf numFmtId="0" fontId="20" fillId="0" borderId="0" xfId="1" applyFont="1" applyFill="1" applyBorder="1" applyAlignment="1">
      <alignment vertical="center"/>
    </xf>
    <xf numFmtId="167" fontId="50" fillId="0" borderId="0" xfId="1" applyNumberFormat="1" applyFont="1" applyFill="1" applyBorder="1" applyAlignment="1">
      <alignment vertical="center"/>
    </xf>
    <xf numFmtId="0" fontId="122" fillId="0" borderId="241" xfId="1" applyFont="1" applyFill="1" applyBorder="1" applyAlignment="1">
      <alignment horizontal="center" vertical="center"/>
    </xf>
    <xf numFmtId="0" fontId="54" fillId="0" borderId="55" xfId="1" applyFont="1" applyFill="1" applyBorder="1" applyAlignment="1">
      <alignment horizontal="left" vertical="center"/>
    </xf>
    <xf numFmtId="0" fontId="145" fillId="0" borderId="246" xfId="15" applyFont="1" applyFill="1" applyBorder="1" applyAlignment="1">
      <alignment horizontal="left" vertical="center"/>
    </xf>
    <xf numFmtId="0" fontId="145" fillId="53" borderId="226" xfId="15" applyFont="1" applyFill="1" applyBorder="1" applyAlignment="1">
      <alignment horizontal="left" vertical="center"/>
    </xf>
    <xf numFmtId="0" fontId="54" fillId="0" borderId="51" xfId="1" applyFont="1" applyFill="1" applyBorder="1" applyAlignment="1">
      <alignment horizontal="left" vertical="center"/>
    </xf>
    <xf numFmtId="0" fontId="145" fillId="2" borderId="68" xfId="15" applyFont="1" applyFill="1" applyBorder="1" applyAlignment="1">
      <alignment horizontal="left" vertical="center"/>
    </xf>
    <xf numFmtId="0" fontId="145" fillId="28" borderId="68" xfId="15" applyFont="1" applyFill="1" applyBorder="1" applyAlignment="1">
      <alignment horizontal="left" vertical="center"/>
    </xf>
    <xf numFmtId="0" fontId="145" fillId="28" borderId="55" xfId="15" applyFont="1" applyFill="1" applyBorder="1" applyAlignment="1">
      <alignment horizontal="left" vertical="center"/>
    </xf>
    <xf numFmtId="3" fontId="54" fillId="4" borderId="95" xfId="1" applyNumberFormat="1" applyFont="1" applyFill="1" applyBorder="1" applyAlignment="1">
      <alignment horizontal="center" vertical="center"/>
    </xf>
    <xf numFmtId="0" fontId="146" fillId="2" borderId="229" xfId="1" applyFont="1" applyFill="1" applyBorder="1" applyAlignment="1">
      <alignment horizontal="left" vertical="center"/>
    </xf>
    <xf numFmtId="0" fontId="145" fillId="2" borderId="246" xfId="15" applyFont="1" applyFill="1" applyBorder="1" applyAlignment="1">
      <alignment horizontal="left" vertical="center"/>
    </xf>
    <xf numFmtId="0" fontId="146" fillId="0" borderId="94" xfId="1" applyFont="1" applyFill="1" applyBorder="1" applyAlignment="1">
      <alignment vertical="center"/>
    </xf>
    <xf numFmtId="0" fontId="146" fillId="2" borderId="68" xfId="1" applyFont="1" applyFill="1" applyBorder="1" applyAlignment="1">
      <alignment horizontal="left" vertical="center"/>
    </xf>
    <xf numFmtId="0" fontId="145" fillId="28" borderId="156" xfId="15" applyFont="1" applyFill="1" applyBorder="1" applyAlignment="1">
      <alignment horizontal="left" vertical="center"/>
    </xf>
    <xf numFmtId="0" fontId="152" fillId="0" borderId="226" xfId="0" applyFont="1" applyFill="1" applyBorder="1"/>
    <xf numFmtId="0" fontId="145" fillId="4" borderId="41" xfId="15" applyFont="1" applyFill="1" applyBorder="1" applyAlignment="1">
      <alignment horizontal="left" vertical="center"/>
    </xf>
    <xf numFmtId="0" fontId="122" fillId="4" borderId="244" xfId="1" applyFont="1" applyFill="1" applyBorder="1" applyAlignment="1">
      <alignment horizontal="center" vertical="center"/>
    </xf>
    <xf numFmtId="3" fontId="54" fillId="4" borderId="243" xfId="1" applyNumberFormat="1" applyFont="1" applyFill="1" applyBorder="1" applyAlignment="1">
      <alignment horizontal="center" vertical="center"/>
    </xf>
    <xf numFmtId="3" fontId="65" fillId="4" borderId="94" xfId="1" applyNumberFormat="1" applyFont="1" applyFill="1" applyBorder="1" applyAlignment="1">
      <alignment horizontal="center" vertical="center"/>
    </xf>
    <xf numFmtId="169" fontId="54" fillId="0" borderId="109" xfId="1" applyNumberFormat="1" applyFont="1" applyFill="1" applyBorder="1" applyAlignment="1">
      <alignment vertical="center"/>
    </xf>
    <xf numFmtId="0" fontId="145" fillId="4" borderId="156" xfId="15" applyFont="1" applyFill="1" applyBorder="1" applyAlignment="1">
      <alignment horizontal="left" vertical="center"/>
    </xf>
    <xf numFmtId="0" fontId="162" fillId="13" borderId="23" xfId="1" applyFont="1" applyFill="1" applyBorder="1" applyAlignment="1">
      <alignment horizontal="center" vertical="center"/>
    </xf>
    <xf numFmtId="0" fontId="162" fillId="14" borderId="23" xfId="1" applyFont="1" applyFill="1" applyBorder="1" applyAlignment="1">
      <alignment horizontal="center" vertical="center"/>
    </xf>
    <xf numFmtId="0" fontId="115" fillId="15" borderId="2" xfId="1" applyFont="1" applyFill="1" applyBorder="1" applyAlignment="1">
      <alignment horizontal="center"/>
    </xf>
    <xf numFmtId="3" fontId="147" fillId="0" borderId="209" xfId="1" applyNumberFormat="1" applyFont="1" applyFill="1" applyBorder="1" applyAlignment="1">
      <alignment horizontal="center" vertical="center"/>
    </xf>
    <xf numFmtId="0" fontId="54" fillId="0" borderId="217" xfId="1" applyFont="1" applyFill="1" applyBorder="1" applyAlignment="1">
      <alignment horizontal="left" vertical="center"/>
    </xf>
    <xf numFmtId="0" fontId="145" fillId="0" borderId="236" xfId="15" applyFont="1" applyFill="1" applyBorder="1" applyAlignment="1">
      <alignment horizontal="left" vertical="center"/>
    </xf>
    <xf numFmtId="0" fontId="113" fillId="12" borderId="30" xfId="1" applyFont="1" applyFill="1" applyBorder="1" applyAlignment="1">
      <alignment horizontal="center" vertical="center"/>
    </xf>
    <xf numFmtId="169" fontId="54" fillId="41" borderId="220" xfId="1" applyNumberFormat="1" applyFont="1" applyFill="1" applyBorder="1" applyAlignment="1">
      <alignment horizontal="right" vertical="center"/>
    </xf>
    <xf numFmtId="3" fontId="54" fillId="41" borderId="6" xfId="1" applyNumberFormat="1" applyFont="1" applyFill="1" applyBorder="1" applyAlignment="1">
      <alignment horizontal="center" vertical="center"/>
    </xf>
    <xf numFmtId="0" fontId="145" fillId="38" borderId="186" xfId="15" applyFont="1" applyFill="1" applyBorder="1" applyAlignment="1">
      <alignment horizontal="left" vertical="center"/>
    </xf>
    <xf numFmtId="0" fontId="145" fillId="0" borderId="186" xfId="15" applyFont="1" applyFill="1" applyBorder="1" applyAlignment="1">
      <alignment vertical="center"/>
    </xf>
    <xf numFmtId="0" fontId="54" fillId="2" borderId="138" xfId="1" applyFont="1" applyFill="1" applyBorder="1" applyAlignment="1">
      <alignment horizontal="left" vertical="center"/>
    </xf>
    <xf numFmtId="0" fontId="145" fillId="28" borderId="172" xfId="15" applyFont="1" applyFill="1" applyBorder="1" applyAlignment="1">
      <alignment horizontal="left" vertical="center"/>
    </xf>
    <xf numFmtId="3" fontId="54" fillId="0" borderId="51" xfId="1" applyNumberFormat="1" applyFont="1" applyFill="1" applyBorder="1" applyAlignment="1">
      <alignment horizontal="left" vertical="center"/>
    </xf>
    <xf numFmtId="3" fontId="54" fillId="4" borderId="221" xfId="1" applyNumberFormat="1" applyFont="1" applyFill="1" applyBorder="1" applyAlignment="1">
      <alignment horizontal="center" vertical="center"/>
    </xf>
    <xf numFmtId="169" fontId="54" fillId="4" borderId="45" xfId="1" applyNumberFormat="1" applyFont="1" applyFill="1" applyBorder="1" applyAlignment="1">
      <alignment vertical="center"/>
    </xf>
    <xf numFmtId="3" fontId="3" fillId="4" borderId="56" xfId="1" applyNumberFormat="1" applyFont="1" applyFill="1" applyBorder="1" applyAlignment="1">
      <alignment horizontal="center" vertical="center"/>
    </xf>
    <xf numFmtId="3" fontId="54" fillId="0" borderId="56" xfId="1" applyNumberFormat="1" applyFont="1" applyFill="1" applyBorder="1" applyAlignment="1">
      <alignment horizontal="center" vertical="center"/>
    </xf>
    <xf numFmtId="0" fontId="145" fillId="38" borderId="68" xfId="15" applyFont="1" applyFill="1" applyBorder="1" applyAlignment="1">
      <alignment horizontal="left" vertical="center"/>
    </xf>
    <xf numFmtId="169" fontId="54" fillId="0" borderId="45" xfId="1" applyNumberFormat="1" applyFont="1" applyFill="1" applyBorder="1" applyAlignment="1">
      <alignment horizontal="right" vertical="center"/>
    </xf>
    <xf numFmtId="169" fontId="54" fillId="0" borderId="121" xfId="1" applyNumberFormat="1" applyFont="1" applyFill="1" applyBorder="1" applyAlignment="1">
      <alignment vertical="center"/>
    </xf>
    <xf numFmtId="0" fontId="145" fillId="4" borderId="5" xfId="15" applyFont="1" applyFill="1" applyBorder="1" applyAlignment="1">
      <alignment horizontal="left" vertical="center"/>
    </xf>
    <xf numFmtId="3" fontId="3" fillId="4" borderId="95" xfId="1" applyNumberFormat="1" applyFont="1" applyFill="1" applyBorder="1" applyAlignment="1">
      <alignment horizontal="center" vertical="center"/>
    </xf>
    <xf numFmtId="3" fontId="65" fillId="0" borderId="100" xfId="1" applyNumberFormat="1" applyFont="1" applyFill="1" applyBorder="1" applyAlignment="1">
      <alignment horizontal="center" vertical="center"/>
    </xf>
    <xf numFmtId="3" fontId="18" fillId="0" borderId="252" xfId="1" applyNumberFormat="1" applyFont="1" applyFill="1" applyBorder="1" applyAlignment="1">
      <alignment horizontal="center" vertical="center"/>
    </xf>
    <xf numFmtId="3" fontId="18" fillId="0" borderId="250" xfId="1" applyNumberFormat="1" applyFont="1" applyFill="1" applyBorder="1" applyAlignment="1">
      <alignment horizontal="center" vertical="center"/>
    </xf>
    <xf numFmtId="0" fontId="23" fillId="0" borderId="253" xfId="15" applyFill="1" applyBorder="1" applyAlignment="1">
      <alignment horizontal="left" vertical="center"/>
    </xf>
    <xf numFmtId="3" fontId="18" fillId="0" borderId="249" xfId="1" applyNumberFormat="1" applyFont="1" applyFill="1" applyBorder="1" applyAlignment="1">
      <alignment horizontal="center" vertical="center"/>
    </xf>
    <xf numFmtId="174" fontId="53" fillId="0" borderId="73" xfId="1" applyNumberFormat="1" applyFont="1" applyFill="1" applyBorder="1" applyAlignment="1">
      <alignment horizontal="center" vertical="center"/>
    </xf>
    <xf numFmtId="174" fontId="53" fillId="0" borderId="61" xfId="1" applyNumberFormat="1" applyFont="1" applyFill="1" applyBorder="1" applyAlignment="1">
      <alignment horizontal="center" vertical="center"/>
    </xf>
    <xf numFmtId="3" fontId="74" fillId="0" borderId="2" xfId="1" applyNumberFormat="1" applyFont="1" applyFill="1" applyBorder="1" applyAlignment="1">
      <alignment horizontal="center" vertical="center"/>
    </xf>
    <xf numFmtId="3" fontId="50" fillId="0" borderId="73" xfId="1" applyNumberFormat="1" applyFont="1" applyFill="1" applyBorder="1" applyAlignment="1">
      <alignment horizontal="center" vertical="center"/>
    </xf>
    <xf numFmtId="174" fontId="53" fillId="0" borderId="26" xfId="1" applyNumberFormat="1" applyFont="1" applyFill="1" applyBorder="1" applyAlignment="1">
      <alignment horizontal="center" vertical="center"/>
    </xf>
    <xf numFmtId="174" fontId="53" fillId="0" borderId="72" xfId="1" applyNumberFormat="1" applyFont="1" applyFill="1" applyBorder="1" applyAlignment="1">
      <alignment horizontal="center" vertical="center"/>
    </xf>
    <xf numFmtId="174" fontId="53" fillId="0" borderId="67" xfId="1" applyNumberFormat="1" applyFont="1" applyFill="1" applyBorder="1" applyAlignment="1">
      <alignment horizontal="center" vertical="center"/>
    </xf>
    <xf numFmtId="3" fontId="74" fillId="0" borderId="24" xfId="1" applyNumberFormat="1" applyFont="1" applyFill="1" applyBorder="1" applyAlignment="1">
      <alignment horizontal="center" vertical="center"/>
    </xf>
    <xf numFmtId="174" fontId="53" fillId="6" borderId="26" xfId="1" applyNumberFormat="1" applyFont="1" applyFill="1" applyBorder="1" applyAlignment="1">
      <alignment horizontal="center" vertical="center"/>
    </xf>
    <xf numFmtId="174" fontId="53" fillId="6" borderId="73" xfId="1" applyNumberFormat="1" applyFont="1" applyFill="1" applyBorder="1" applyAlignment="1">
      <alignment horizontal="center" vertical="center"/>
    </xf>
    <xf numFmtId="174" fontId="53" fillId="6" borderId="82" xfId="1" applyNumberFormat="1" applyFont="1" applyFill="1" applyBorder="1" applyAlignment="1">
      <alignment horizontal="center" vertical="center"/>
    </xf>
    <xf numFmtId="3" fontId="74" fillId="0" borderId="82" xfId="1" applyNumberFormat="1" applyFont="1" applyFill="1" applyBorder="1" applyAlignment="1">
      <alignment horizontal="center" vertical="center"/>
    </xf>
    <xf numFmtId="174" fontId="53" fillId="7" borderId="73" xfId="1" applyNumberFormat="1" applyFont="1" applyFill="1" applyBorder="1" applyAlignment="1">
      <alignment horizontal="center" vertical="center"/>
    </xf>
    <xf numFmtId="174" fontId="53" fillId="9" borderId="73" xfId="1" applyNumberFormat="1" applyFont="1" applyFill="1" applyBorder="1" applyAlignment="1">
      <alignment horizontal="center" vertical="center"/>
    </xf>
    <xf numFmtId="174" fontId="53" fillId="8" borderId="73" xfId="1" applyNumberFormat="1" applyFont="1" applyFill="1" applyBorder="1" applyAlignment="1">
      <alignment horizontal="center" vertical="center"/>
    </xf>
    <xf numFmtId="174" fontId="53" fillId="10" borderId="73" xfId="1" applyNumberFormat="1" applyFont="1" applyFill="1" applyBorder="1" applyAlignment="1">
      <alignment horizontal="center" vertical="center"/>
    </xf>
    <xf numFmtId="174" fontId="53" fillId="35" borderId="73" xfId="1" applyNumberFormat="1" applyFont="1" applyFill="1" applyBorder="1" applyAlignment="1">
      <alignment horizontal="center" vertical="center"/>
    </xf>
    <xf numFmtId="174" fontId="53" fillId="34" borderId="82" xfId="1" applyNumberFormat="1" applyFont="1" applyFill="1" applyBorder="1" applyAlignment="1">
      <alignment horizontal="center" vertical="center"/>
    </xf>
    <xf numFmtId="174" fontId="53" fillId="33" borderId="73" xfId="1" applyNumberFormat="1" applyFont="1" applyFill="1" applyBorder="1" applyAlignment="1">
      <alignment horizontal="center" vertical="center"/>
    </xf>
    <xf numFmtId="174" fontId="53" fillId="34" borderId="73" xfId="1" applyNumberFormat="1" applyFont="1" applyFill="1" applyBorder="1" applyAlignment="1">
      <alignment horizontal="center" vertical="center"/>
    </xf>
    <xf numFmtId="174" fontId="53" fillId="37" borderId="73" xfId="1" applyNumberFormat="1" applyFont="1" applyFill="1" applyBorder="1" applyAlignment="1">
      <alignment horizontal="center" vertical="center"/>
    </xf>
    <xf numFmtId="174" fontId="53" fillId="36" borderId="73" xfId="1" applyNumberFormat="1" applyFont="1" applyFill="1" applyBorder="1" applyAlignment="1">
      <alignment horizontal="center" vertical="center"/>
    </xf>
    <xf numFmtId="174" fontId="105" fillId="35" borderId="73" xfId="1" applyNumberFormat="1" applyFont="1" applyFill="1" applyBorder="1" applyAlignment="1">
      <alignment horizontal="center" vertical="center"/>
    </xf>
    <xf numFmtId="174" fontId="53" fillId="15" borderId="26" xfId="1" applyNumberFormat="1" applyFont="1" applyFill="1" applyBorder="1" applyAlignment="1">
      <alignment horizontal="center" vertical="center"/>
    </xf>
    <xf numFmtId="174" fontId="53" fillId="14" borderId="73" xfId="1" applyNumberFormat="1" applyFont="1" applyFill="1" applyBorder="1" applyAlignment="1">
      <alignment horizontal="center" vertical="center"/>
    </xf>
    <xf numFmtId="174" fontId="53" fillId="15" borderId="82" xfId="1" applyNumberFormat="1" applyFont="1" applyFill="1" applyBorder="1" applyAlignment="1">
      <alignment horizontal="center" vertical="center"/>
    </xf>
    <xf numFmtId="174" fontId="53" fillId="12" borderId="73" xfId="1" applyNumberFormat="1" applyFont="1" applyFill="1" applyBorder="1" applyAlignment="1">
      <alignment horizontal="center" vertical="center"/>
    </xf>
    <xf numFmtId="174" fontId="2" fillId="12" borderId="82" xfId="1" applyNumberFormat="1" applyFont="1" applyFill="1" applyBorder="1" applyAlignment="1">
      <alignment horizontal="center" vertical="center"/>
    </xf>
    <xf numFmtId="174" fontId="53" fillId="16" borderId="82" xfId="1" applyNumberFormat="1" applyFont="1" applyFill="1" applyBorder="1" applyAlignment="1">
      <alignment horizontal="center" vertical="center"/>
    </xf>
    <xf numFmtId="174" fontId="53" fillId="15" borderId="73" xfId="1" applyNumberFormat="1" applyFont="1" applyFill="1" applyBorder="1" applyAlignment="1">
      <alignment horizontal="center" vertical="center"/>
    </xf>
    <xf numFmtId="174" fontId="2" fillId="13" borderId="73" xfId="1" applyNumberFormat="1" applyFont="1" applyFill="1" applyBorder="1" applyAlignment="1">
      <alignment horizontal="center" vertical="center"/>
    </xf>
    <xf numFmtId="174" fontId="2" fillId="14" borderId="73" xfId="1" applyNumberFormat="1" applyFont="1" applyFill="1" applyBorder="1" applyAlignment="1">
      <alignment horizontal="center" vertical="center"/>
    </xf>
    <xf numFmtId="174" fontId="53" fillId="13" borderId="82" xfId="1" applyNumberFormat="1" applyFont="1" applyFill="1" applyBorder="1" applyAlignment="1">
      <alignment horizontal="center" vertical="center"/>
    </xf>
    <xf numFmtId="174" fontId="53" fillId="13" borderId="73" xfId="1" applyNumberFormat="1" applyFont="1" applyFill="1" applyBorder="1" applyAlignment="1">
      <alignment horizontal="center" vertical="center"/>
    </xf>
    <xf numFmtId="174" fontId="53" fillId="15" borderId="79" xfId="1" applyNumberFormat="1" applyFont="1" applyFill="1" applyBorder="1" applyAlignment="1">
      <alignment horizontal="center" vertical="center"/>
    </xf>
    <xf numFmtId="174" fontId="53" fillId="16" borderId="73" xfId="1" applyNumberFormat="1" applyFont="1" applyFill="1" applyBorder="1" applyAlignment="1">
      <alignment horizontal="center" vertical="center"/>
    </xf>
    <xf numFmtId="174" fontId="53" fillId="13" borderId="26" xfId="1" applyNumberFormat="1" applyFont="1" applyFill="1" applyBorder="1" applyAlignment="1">
      <alignment horizontal="center" vertical="center"/>
    </xf>
    <xf numFmtId="174" fontId="53" fillId="14" borderId="82" xfId="1" applyNumberFormat="1" applyFont="1" applyFill="1" applyBorder="1" applyAlignment="1">
      <alignment horizontal="center" vertical="center"/>
    </xf>
    <xf numFmtId="174" fontId="2" fillId="16" borderId="73" xfId="1" applyNumberFormat="1" applyFont="1" applyFill="1" applyBorder="1" applyAlignment="1">
      <alignment horizontal="center" vertical="center"/>
    </xf>
    <xf numFmtId="174" fontId="2" fillId="15" borderId="73" xfId="1" applyNumberFormat="1" applyFont="1" applyFill="1" applyBorder="1" applyAlignment="1">
      <alignment horizontal="center" vertical="center"/>
    </xf>
    <xf numFmtId="174" fontId="53" fillId="16" borderId="26" xfId="1" applyNumberFormat="1" applyFont="1" applyFill="1" applyBorder="1" applyAlignment="1">
      <alignment horizontal="center" vertical="center"/>
    </xf>
    <xf numFmtId="174" fontId="2" fillId="15" borderId="26" xfId="1" applyNumberFormat="1" applyFont="1" applyFill="1" applyBorder="1" applyAlignment="1">
      <alignment horizontal="center" vertical="center"/>
    </xf>
    <xf numFmtId="174" fontId="2" fillId="13" borderId="82" xfId="1" applyNumberFormat="1" applyFont="1" applyFill="1" applyBorder="1" applyAlignment="1">
      <alignment horizontal="center" vertical="center"/>
    </xf>
    <xf numFmtId="174" fontId="2" fillId="16" borderId="26" xfId="1" applyNumberFormat="1" applyFont="1" applyFill="1" applyBorder="1" applyAlignment="1">
      <alignment horizontal="center" vertical="center"/>
    </xf>
    <xf numFmtId="174" fontId="2" fillId="16" borderId="82" xfId="1" applyNumberFormat="1" applyFont="1" applyFill="1" applyBorder="1" applyAlignment="1">
      <alignment horizontal="center" vertical="center"/>
    </xf>
    <xf numFmtId="174" fontId="53" fillId="22" borderId="73" xfId="1" applyNumberFormat="1" applyFont="1" applyFill="1" applyBorder="1" applyAlignment="1">
      <alignment horizontal="center" vertical="center"/>
    </xf>
    <xf numFmtId="174" fontId="53" fillId="19" borderId="73" xfId="1" applyNumberFormat="1" applyFont="1" applyFill="1" applyBorder="1" applyAlignment="1">
      <alignment horizontal="center" vertical="center"/>
    </xf>
    <xf numFmtId="174" fontId="53" fillId="22" borderId="26" xfId="1" applyNumberFormat="1" applyFont="1" applyFill="1" applyBorder="1" applyAlignment="1">
      <alignment horizontal="center" vertical="center"/>
    </xf>
    <xf numFmtId="174" fontId="53" fillId="19" borderId="61" xfId="1" applyNumberFormat="1" applyFont="1" applyFill="1" applyBorder="1" applyAlignment="1">
      <alignment horizontal="center" vertical="center"/>
    </xf>
    <xf numFmtId="174" fontId="2" fillId="19" borderId="73" xfId="1" applyNumberFormat="1" applyFont="1" applyFill="1" applyBorder="1" applyAlignment="1">
      <alignment horizontal="center" vertical="center"/>
    </xf>
    <xf numFmtId="174" fontId="53" fillId="22" borderId="82" xfId="1" applyNumberFormat="1" applyFont="1" applyFill="1" applyBorder="1" applyAlignment="1">
      <alignment horizontal="center" vertical="center"/>
    </xf>
    <xf numFmtId="174" fontId="53" fillId="23" borderId="73" xfId="1" applyNumberFormat="1" applyFont="1" applyFill="1" applyBorder="1" applyAlignment="1">
      <alignment horizontal="center" vertical="center"/>
    </xf>
    <xf numFmtId="174" fontId="53" fillId="19" borderId="82" xfId="1" applyNumberFormat="1" applyFont="1" applyFill="1" applyBorder="1" applyAlignment="1">
      <alignment horizontal="center" vertical="center"/>
    </xf>
    <xf numFmtId="174" fontId="53" fillId="19" borderId="26" xfId="1" applyNumberFormat="1" applyFont="1" applyFill="1" applyBorder="1" applyAlignment="1">
      <alignment horizontal="center" vertical="center"/>
    </xf>
    <xf numFmtId="174" fontId="2" fillId="19" borderId="82" xfId="1" applyNumberFormat="1" applyFont="1" applyFill="1" applyBorder="1" applyAlignment="1">
      <alignment horizontal="center" vertical="center"/>
    </xf>
    <xf numFmtId="174" fontId="2" fillId="19" borderId="26" xfId="1" applyNumberFormat="1" applyFont="1" applyFill="1" applyBorder="1" applyAlignment="1">
      <alignment horizontal="center" vertical="center"/>
    </xf>
    <xf numFmtId="174" fontId="2" fillId="22" borderId="73" xfId="1" applyNumberFormat="1" applyFont="1" applyFill="1" applyBorder="1" applyAlignment="1">
      <alignment horizontal="center" vertical="center"/>
    </xf>
    <xf numFmtId="174" fontId="53" fillId="21" borderId="26" xfId="1" applyNumberFormat="1" applyFont="1" applyFill="1" applyBorder="1" applyAlignment="1">
      <alignment horizontal="center" vertical="center"/>
    </xf>
    <xf numFmtId="174" fontId="2" fillId="42" borderId="82" xfId="1" applyNumberFormat="1" applyFont="1" applyFill="1" applyBorder="1" applyAlignment="1">
      <alignment horizontal="center" vertical="center"/>
    </xf>
    <xf numFmtId="174" fontId="105" fillId="19" borderId="82" xfId="1" applyNumberFormat="1" applyFont="1" applyFill="1" applyBorder="1" applyAlignment="1">
      <alignment horizontal="center" vertical="center"/>
    </xf>
    <xf numFmtId="174" fontId="53" fillId="21" borderId="73" xfId="1" applyNumberFormat="1" applyFont="1" applyFill="1" applyBorder="1" applyAlignment="1">
      <alignment horizontal="center" vertical="center"/>
    </xf>
    <xf numFmtId="174" fontId="53" fillId="19" borderId="115" xfId="1" applyNumberFormat="1" applyFont="1" applyFill="1" applyBorder="1" applyAlignment="1">
      <alignment horizontal="center" vertical="center"/>
    </xf>
    <xf numFmtId="174" fontId="53" fillId="22" borderId="61" xfId="1" applyNumberFormat="1" applyFont="1" applyFill="1" applyBorder="1" applyAlignment="1">
      <alignment horizontal="center" vertical="center"/>
    </xf>
    <xf numFmtId="174" fontId="53" fillId="49" borderId="73" xfId="1" applyNumberFormat="1" applyFont="1" applyFill="1" applyBorder="1" applyAlignment="1">
      <alignment horizontal="center" vertical="center"/>
    </xf>
    <xf numFmtId="174" fontId="105" fillId="19" borderId="73" xfId="1" applyNumberFormat="1" applyFont="1" applyFill="1" applyBorder="1" applyAlignment="1">
      <alignment horizontal="center" vertical="center"/>
    </xf>
    <xf numFmtId="174" fontId="53" fillId="49" borderId="26" xfId="1" applyNumberFormat="1" applyFont="1" applyFill="1" applyBorder="1" applyAlignment="1">
      <alignment horizontal="center" vertical="center"/>
    </xf>
    <xf numFmtId="174" fontId="53" fillId="28" borderId="73" xfId="1" applyNumberFormat="1" applyFont="1" applyFill="1" applyBorder="1" applyAlignment="1">
      <alignment horizontal="center" vertical="center"/>
    </xf>
    <xf numFmtId="174" fontId="2" fillId="29" borderId="73" xfId="1" applyNumberFormat="1" applyFont="1" applyFill="1" applyBorder="1" applyAlignment="1">
      <alignment horizontal="center" vertical="center"/>
    </xf>
    <xf numFmtId="0" fontId="23" fillId="29" borderId="0" xfId="15" applyFont="1" applyFill="1" applyBorder="1" applyAlignment="1">
      <alignment horizontal="left" vertical="center"/>
    </xf>
    <xf numFmtId="174" fontId="53" fillId="27" borderId="73" xfId="1" applyNumberFormat="1" applyFont="1" applyFill="1" applyBorder="1" applyAlignment="1">
      <alignment horizontal="center" vertical="center"/>
    </xf>
    <xf numFmtId="174" fontId="2" fillId="28" borderId="73" xfId="1" applyNumberFormat="1" applyFont="1" applyFill="1" applyBorder="1" applyAlignment="1">
      <alignment horizontal="center" vertical="center"/>
    </xf>
    <xf numFmtId="174" fontId="2" fillId="29" borderId="37" xfId="1" applyNumberFormat="1" applyFont="1" applyFill="1" applyBorder="1" applyAlignment="1">
      <alignment horizontal="center" vertical="center"/>
    </xf>
    <xf numFmtId="3" fontId="50" fillId="0" borderId="111" xfId="1" applyNumberFormat="1" applyFont="1" applyFill="1" applyBorder="1" applyAlignment="1">
      <alignment horizontal="center" vertical="center"/>
    </xf>
    <xf numFmtId="3" fontId="74" fillId="0" borderId="73" xfId="1" applyNumberFormat="1" applyFont="1" applyFill="1" applyBorder="1" applyAlignment="1">
      <alignment horizontal="center" vertical="center"/>
    </xf>
    <xf numFmtId="3" fontId="50" fillId="0" borderId="0" xfId="1" applyNumberFormat="1" applyFont="1" applyFill="1" applyBorder="1" applyAlignment="1">
      <alignment horizontal="center" vertical="center"/>
    </xf>
    <xf numFmtId="3" fontId="50" fillId="22" borderId="73" xfId="1" applyNumberFormat="1" applyFont="1" applyFill="1" applyBorder="1" applyAlignment="1">
      <alignment horizontal="center" vertical="center"/>
    </xf>
    <xf numFmtId="3" fontId="74" fillId="0" borderId="0" xfId="1" applyNumberFormat="1" applyFont="1" applyFill="1" applyBorder="1" applyAlignment="1">
      <alignment horizontal="center" vertical="center"/>
    </xf>
    <xf numFmtId="3" fontId="50" fillId="0" borderId="24" xfId="1" applyNumberFormat="1" applyFont="1" applyFill="1" applyBorder="1" applyAlignment="1">
      <alignment horizontal="center" vertical="center"/>
    </xf>
    <xf numFmtId="3" fontId="50" fillId="0" borderId="72" xfId="1" applyNumberFormat="1" applyFont="1" applyFill="1" applyBorder="1" applyAlignment="1">
      <alignment horizontal="center" vertical="center"/>
    </xf>
    <xf numFmtId="3" fontId="50" fillId="0" borderId="29" xfId="1" applyNumberFormat="1" applyFont="1" applyFill="1" applyBorder="1" applyAlignment="1">
      <alignment horizontal="center" vertical="center"/>
    </xf>
    <xf numFmtId="3" fontId="50" fillId="0" borderId="2" xfId="1" applyNumberFormat="1" applyFont="1" applyFill="1" applyBorder="1" applyAlignment="1">
      <alignment horizontal="center" vertical="center"/>
    </xf>
    <xf numFmtId="3" fontId="169" fillId="0" borderId="29" xfId="1" applyNumberFormat="1" applyFont="1" applyFill="1" applyBorder="1" applyAlignment="1">
      <alignment horizontal="center" vertical="center"/>
    </xf>
    <xf numFmtId="3" fontId="50" fillId="0" borderId="22" xfId="1" applyNumberFormat="1" applyFont="1" applyFill="1" applyBorder="1" applyAlignment="1">
      <alignment horizontal="center" vertical="center"/>
    </xf>
    <xf numFmtId="3" fontId="169" fillId="0" borderId="22" xfId="1" applyNumberFormat="1" applyFont="1" applyFill="1" applyBorder="1" applyAlignment="1">
      <alignment horizontal="center" vertical="center"/>
    </xf>
    <xf numFmtId="3" fontId="50" fillId="0" borderId="77" xfId="1" applyNumberFormat="1" applyFont="1" applyFill="1" applyBorder="1" applyAlignment="1">
      <alignment horizontal="center" vertical="center"/>
    </xf>
    <xf numFmtId="3" fontId="169" fillId="0" borderId="77" xfId="1" applyNumberFormat="1" applyFont="1" applyFill="1" applyBorder="1" applyAlignment="1">
      <alignment horizontal="center" vertical="center"/>
    </xf>
    <xf numFmtId="3" fontId="74" fillId="0" borderId="26" xfId="1" applyNumberFormat="1" applyFont="1" applyFill="1" applyBorder="1" applyAlignment="1">
      <alignment horizontal="center" vertical="center"/>
    </xf>
    <xf numFmtId="3" fontId="169" fillId="0" borderId="28" xfId="1" applyNumberFormat="1" applyFont="1" applyFill="1" applyBorder="1" applyAlignment="1">
      <alignment horizontal="center" vertical="center"/>
    </xf>
    <xf numFmtId="3" fontId="50" fillId="0" borderId="26" xfId="1" applyNumberFormat="1" applyFont="1" applyFill="1" applyBorder="1" applyAlignment="1">
      <alignment horizontal="center" vertical="center"/>
    </xf>
    <xf numFmtId="3" fontId="50" fillId="0" borderId="60" xfId="1" applyNumberFormat="1" applyFont="1" applyFill="1" applyBorder="1" applyAlignment="1">
      <alignment horizontal="center" vertical="center"/>
    </xf>
    <xf numFmtId="3" fontId="169" fillId="6" borderId="22" xfId="1" applyNumberFormat="1" applyFont="1" applyFill="1" applyBorder="1" applyAlignment="1">
      <alignment horizontal="center" vertical="center"/>
    </xf>
    <xf numFmtId="3" fontId="50" fillId="0" borderId="75" xfId="1" applyNumberFormat="1" applyFont="1" applyFill="1" applyBorder="1" applyAlignment="1">
      <alignment horizontal="center" vertical="center"/>
    </xf>
    <xf numFmtId="3" fontId="74" fillId="0" borderId="80" xfId="1" applyNumberFormat="1" applyFont="1" applyFill="1" applyBorder="1" applyAlignment="1">
      <alignment horizontal="center" vertical="center"/>
    </xf>
    <xf numFmtId="3" fontId="50" fillId="0" borderId="80" xfId="1" applyNumberFormat="1" applyFont="1" applyFill="1" applyBorder="1" applyAlignment="1">
      <alignment horizontal="center" vertical="center"/>
    </xf>
    <xf numFmtId="3" fontId="50" fillId="6" borderId="81" xfId="1" applyNumberFormat="1" applyFont="1" applyFill="1" applyBorder="1" applyAlignment="1">
      <alignment horizontal="center" vertical="center"/>
    </xf>
    <xf numFmtId="3" fontId="50" fillId="6" borderId="22" xfId="1" applyNumberFormat="1" applyFont="1" applyFill="1" applyBorder="1" applyAlignment="1">
      <alignment horizontal="center" vertical="center"/>
    </xf>
    <xf numFmtId="3" fontId="50" fillId="0" borderId="82" xfId="1" applyNumberFormat="1" applyFont="1" applyFill="1" applyBorder="1" applyAlignment="1">
      <alignment horizontal="center" vertical="center"/>
    </xf>
    <xf numFmtId="3" fontId="169" fillId="6" borderId="29" xfId="1" applyNumberFormat="1" applyFont="1" applyFill="1" applyBorder="1" applyAlignment="1">
      <alignment horizontal="center" vertical="center"/>
    </xf>
    <xf numFmtId="3" fontId="169" fillId="6" borderId="81" xfId="1" applyNumberFormat="1" applyFont="1" applyFill="1" applyBorder="1" applyAlignment="1">
      <alignment horizontal="center" vertical="center"/>
    </xf>
    <xf numFmtId="3" fontId="169" fillId="6" borderId="28" xfId="1" applyNumberFormat="1" applyFont="1" applyFill="1" applyBorder="1" applyAlignment="1">
      <alignment horizontal="center" vertical="center"/>
    </xf>
    <xf numFmtId="3" fontId="74" fillId="0" borderId="75" xfId="1" applyNumberFormat="1" applyFont="1" applyFill="1" applyBorder="1" applyAlignment="1">
      <alignment horizontal="center" vertical="center"/>
    </xf>
    <xf numFmtId="3" fontId="50" fillId="0" borderId="88" xfId="1" applyNumberFormat="1" applyFont="1" applyFill="1" applyBorder="1" applyAlignment="1">
      <alignment horizontal="center" vertical="center"/>
    </xf>
    <xf numFmtId="3" fontId="74" fillId="0" borderId="88" xfId="1" applyNumberFormat="1" applyFont="1" applyFill="1" applyBorder="1" applyAlignment="1">
      <alignment horizontal="center" vertical="center"/>
    </xf>
    <xf numFmtId="3" fontId="50" fillId="22" borderId="26" xfId="1" applyNumberFormat="1" applyFont="1" applyFill="1" applyBorder="1" applyAlignment="1">
      <alignment horizontal="center" vertical="center"/>
    </xf>
    <xf numFmtId="3" fontId="50" fillId="0" borderId="31" xfId="1" applyNumberFormat="1" applyFont="1" applyFill="1" applyBorder="1" applyAlignment="1">
      <alignment horizontal="center" vertical="center"/>
    </xf>
    <xf numFmtId="3" fontId="50" fillId="35" borderId="82" xfId="1" applyNumberFormat="1" applyFont="1" applyFill="1" applyBorder="1" applyAlignment="1">
      <alignment horizontal="center" vertical="center"/>
    </xf>
    <xf numFmtId="3" fontId="50" fillId="35" borderId="29" xfId="1" applyNumberFormat="1" applyFont="1" applyFill="1" applyBorder="1" applyAlignment="1">
      <alignment horizontal="center" vertical="center"/>
    </xf>
    <xf numFmtId="3" fontId="169" fillId="35" borderId="29" xfId="1" applyNumberFormat="1" applyFont="1" applyFill="1" applyBorder="1" applyAlignment="1">
      <alignment horizontal="center" vertical="center"/>
    </xf>
    <xf numFmtId="3" fontId="169" fillId="33" borderId="29" xfId="1" applyNumberFormat="1" applyFont="1" applyFill="1" applyBorder="1" applyAlignment="1">
      <alignment horizontal="center" vertical="center"/>
    </xf>
    <xf numFmtId="3" fontId="74" fillId="22" borderId="73" xfId="1" applyNumberFormat="1" applyFont="1" applyFill="1" applyBorder="1" applyAlignment="1">
      <alignment horizontal="center" vertical="center"/>
    </xf>
    <xf numFmtId="3" fontId="169" fillId="37" borderId="29" xfId="1" applyNumberFormat="1" applyFont="1" applyFill="1" applyBorder="1" applyAlignment="1">
      <alignment horizontal="center" vertical="center"/>
    </xf>
    <xf numFmtId="3" fontId="169" fillId="33" borderId="73" xfId="1" applyNumberFormat="1" applyFont="1" applyFill="1" applyBorder="1" applyAlignment="1">
      <alignment horizontal="center" vertical="center"/>
    </xf>
    <xf numFmtId="3" fontId="50" fillId="35" borderId="73" xfId="1" applyNumberFormat="1" applyFont="1" applyFill="1" applyBorder="1" applyAlignment="1">
      <alignment horizontal="center" vertical="center"/>
    </xf>
    <xf numFmtId="3" fontId="169" fillId="34" borderId="73" xfId="1" applyNumberFormat="1" applyFont="1" applyFill="1" applyBorder="1" applyAlignment="1">
      <alignment horizontal="center" vertical="center"/>
    </xf>
    <xf numFmtId="3" fontId="169" fillId="36" borderId="82" xfId="1" applyNumberFormat="1" applyFont="1" applyFill="1" applyBorder="1" applyAlignment="1">
      <alignment horizontal="center" vertical="center"/>
    </xf>
    <xf numFmtId="3" fontId="169" fillId="37" borderId="73" xfId="1" applyNumberFormat="1" applyFont="1" applyFill="1" applyBorder="1" applyAlignment="1">
      <alignment horizontal="center" vertical="center"/>
    </xf>
    <xf numFmtId="3" fontId="169" fillId="35" borderId="73" xfId="1" applyNumberFormat="1" applyFont="1" applyFill="1" applyBorder="1" applyAlignment="1">
      <alignment horizontal="center" vertical="center"/>
    </xf>
    <xf numFmtId="3" fontId="169" fillId="36" borderId="73" xfId="1" applyNumberFormat="1" applyFont="1" applyFill="1" applyBorder="1" applyAlignment="1">
      <alignment horizontal="center" vertical="center"/>
    </xf>
    <xf numFmtId="3" fontId="43" fillId="35" borderId="0" xfId="1" applyNumberFormat="1" applyFont="1" applyFill="1" applyBorder="1" applyAlignment="1">
      <alignment horizontal="center" vertical="center"/>
    </xf>
    <xf numFmtId="3" fontId="169" fillId="15" borderId="26" xfId="1" applyNumberFormat="1" applyFont="1" applyFill="1" applyBorder="1" applyAlignment="1">
      <alignment horizontal="center" vertical="center"/>
    </xf>
    <xf numFmtId="3" fontId="50" fillId="15" borderId="26" xfId="1" applyNumberFormat="1" applyFont="1" applyFill="1" applyBorder="1" applyAlignment="1">
      <alignment horizontal="center" vertical="center"/>
    </xf>
    <xf numFmtId="3" fontId="50" fillId="13" borderId="82" xfId="1" applyNumberFormat="1" applyFont="1" applyFill="1" applyBorder="1" applyAlignment="1">
      <alignment horizontal="center" vertical="center"/>
    </xf>
    <xf numFmtId="3" fontId="169" fillId="13" borderId="82" xfId="1" applyNumberFormat="1" applyFont="1" applyFill="1" applyBorder="1" applyAlignment="1">
      <alignment horizontal="center" vertical="center"/>
    </xf>
    <xf numFmtId="3" fontId="169" fillId="14" borderId="73" xfId="1" applyNumberFormat="1" applyFont="1" applyFill="1" applyBorder="1" applyAlignment="1">
      <alignment horizontal="center" vertical="center"/>
    </xf>
    <xf numFmtId="3" fontId="169" fillId="15" borderId="82" xfId="1" applyNumberFormat="1" applyFont="1" applyFill="1" applyBorder="1" applyAlignment="1">
      <alignment horizontal="center" vertical="center"/>
    </xf>
    <xf numFmtId="3" fontId="169" fillId="12" borderId="73" xfId="1" applyNumberFormat="1" applyFont="1" applyFill="1" applyBorder="1" applyAlignment="1">
      <alignment horizontal="center" vertical="center"/>
    </xf>
    <xf numFmtId="3" fontId="169" fillId="12" borderId="82" xfId="1" applyNumberFormat="1" applyFont="1" applyFill="1" applyBorder="1" applyAlignment="1">
      <alignment horizontal="center" vertical="center"/>
    </xf>
    <xf numFmtId="3" fontId="74" fillId="22" borderId="82" xfId="1" applyNumberFormat="1" applyFont="1" applyFill="1" applyBorder="1" applyAlignment="1">
      <alignment horizontal="center" vertical="center"/>
    </xf>
    <xf numFmtId="3" fontId="50" fillId="13" borderId="73" xfId="1" applyNumberFormat="1" applyFont="1" applyFill="1" applyBorder="1" applyAlignment="1">
      <alignment horizontal="center" vertical="center"/>
    </xf>
    <xf numFmtId="3" fontId="169" fillId="14" borderId="26" xfId="1" applyNumberFormat="1" applyFont="1" applyFill="1" applyBorder="1" applyAlignment="1">
      <alignment horizontal="center" vertical="center"/>
    </xf>
    <xf numFmtId="3" fontId="169" fillId="13" borderId="73" xfId="1" applyNumberFormat="1" applyFont="1" applyFill="1" applyBorder="1" applyAlignment="1">
      <alignment horizontal="center" vertical="center"/>
    </xf>
    <xf numFmtId="3" fontId="169" fillId="16" borderId="82" xfId="1" applyNumberFormat="1" applyFont="1" applyFill="1" applyBorder="1" applyAlignment="1">
      <alignment horizontal="center" vertical="center"/>
    </xf>
    <xf numFmtId="3" fontId="50" fillId="16" borderId="73" xfId="1" applyNumberFormat="1" applyFont="1" applyFill="1" applyBorder="1" applyAlignment="1">
      <alignment horizontal="center" vertical="center"/>
    </xf>
    <xf numFmtId="3" fontId="169" fillId="16" borderId="73" xfId="1" applyNumberFormat="1" applyFont="1" applyFill="1" applyBorder="1" applyAlignment="1">
      <alignment horizontal="center" vertical="center"/>
    </xf>
    <xf numFmtId="3" fontId="169" fillId="13" borderId="26" xfId="1" applyNumberFormat="1" applyFont="1" applyFill="1" applyBorder="1" applyAlignment="1">
      <alignment horizontal="center" vertical="center"/>
    </xf>
    <xf numFmtId="3" fontId="169" fillId="15" borderId="73" xfId="1" applyNumberFormat="1" applyFont="1" applyFill="1" applyBorder="1" applyAlignment="1">
      <alignment horizontal="center" vertical="center"/>
    </xf>
    <xf numFmtId="3" fontId="169" fillId="14" borderId="82" xfId="1" applyNumberFormat="1" applyFont="1" applyFill="1" applyBorder="1" applyAlignment="1">
      <alignment horizontal="center" vertical="center"/>
    </xf>
    <xf numFmtId="3" fontId="50" fillId="13" borderId="26" xfId="1" applyNumberFormat="1" applyFont="1" applyFill="1" applyBorder="1" applyAlignment="1">
      <alignment horizontal="center" vertical="center"/>
    </xf>
    <xf numFmtId="3" fontId="169" fillId="16" borderId="26" xfId="1" applyNumberFormat="1" applyFont="1" applyFill="1" applyBorder="1" applyAlignment="1">
      <alignment horizontal="center" vertical="center"/>
    </xf>
    <xf numFmtId="3" fontId="74" fillId="13" borderId="82" xfId="1" applyNumberFormat="1" applyFont="1" applyFill="1" applyBorder="1" applyAlignment="1">
      <alignment horizontal="center" vertical="center" wrapText="1"/>
    </xf>
    <xf numFmtId="3" fontId="43" fillId="16" borderId="0" xfId="1" applyNumberFormat="1" applyFont="1" applyFill="1" applyBorder="1" applyAlignment="1">
      <alignment horizontal="center" vertical="center"/>
    </xf>
    <xf numFmtId="3" fontId="50" fillId="12" borderId="73" xfId="1" applyNumberFormat="1" applyFont="1" applyFill="1" applyBorder="1" applyAlignment="1">
      <alignment horizontal="center" vertical="center"/>
    </xf>
    <xf numFmtId="3" fontId="125" fillId="13" borderId="73" xfId="1" applyNumberFormat="1" applyFont="1" applyFill="1" applyBorder="1" applyAlignment="1">
      <alignment horizontal="center" vertical="center"/>
    </xf>
    <xf numFmtId="3" fontId="125" fillId="13" borderId="82" xfId="1" applyNumberFormat="1" applyFont="1" applyFill="1" applyBorder="1" applyAlignment="1">
      <alignment horizontal="center" vertical="center"/>
    </xf>
    <xf numFmtId="3" fontId="43" fillId="13" borderId="0" xfId="1" applyNumberFormat="1" applyFont="1" applyFill="1" applyBorder="1" applyAlignment="1">
      <alignment horizontal="center" vertical="center"/>
    </xf>
    <xf numFmtId="3" fontId="43" fillId="14" borderId="0" xfId="1" applyNumberFormat="1" applyFont="1" applyFill="1" applyBorder="1" applyAlignment="1">
      <alignment horizontal="center" vertical="center"/>
    </xf>
    <xf numFmtId="3" fontId="169" fillId="19" borderId="73" xfId="1" applyNumberFormat="1" applyFont="1" applyFill="1" applyBorder="1" applyAlignment="1">
      <alignment horizontal="center" vertical="center"/>
    </xf>
    <xf numFmtId="3" fontId="169" fillId="22" borderId="26" xfId="1" applyNumberFormat="1" applyFont="1" applyFill="1" applyBorder="1" applyAlignment="1">
      <alignment horizontal="center" vertical="center"/>
    </xf>
    <xf numFmtId="3" fontId="169" fillId="19" borderId="82" xfId="1" applyNumberFormat="1" applyFont="1" applyFill="1" applyBorder="1" applyAlignment="1">
      <alignment horizontal="center" vertical="center"/>
    </xf>
    <xf numFmtId="3" fontId="50" fillId="26" borderId="73" xfId="1" applyNumberFormat="1" applyFont="1" applyFill="1" applyBorder="1" applyAlignment="1">
      <alignment horizontal="center" vertical="center"/>
    </xf>
    <xf numFmtId="3" fontId="169" fillId="19" borderId="26" xfId="1" applyNumberFormat="1" applyFont="1" applyFill="1" applyBorder="1" applyAlignment="1">
      <alignment horizontal="center" vertical="center"/>
    </xf>
    <xf numFmtId="3" fontId="169" fillId="42" borderId="82" xfId="1" applyNumberFormat="1" applyFont="1" applyFill="1" applyBorder="1" applyAlignment="1">
      <alignment horizontal="center" vertical="center"/>
    </xf>
    <xf numFmtId="3" fontId="43" fillId="23" borderId="0" xfId="1" applyNumberFormat="1" applyFont="1" applyFill="1" applyBorder="1" applyAlignment="1">
      <alignment horizontal="center" vertical="center"/>
    </xf>
    <xf numFmtId="3" fontId="169" fillId="26" borderId="73" xfId="1" applyNumberFormat="1" applyFont="1" applyFill="1" applyBorder="1" applyAlignment="1">
      <alignment horizontal="center" vertical="center"/>
    </xf>
    <xf numFmtId="3" fontId="169" fillId="22" borderId="73" xfId="1" applyNumberFormat="1" applyFont="1" applyFill="1" applyBorder="1" applyAlignment="1">
      <alignment horizontal="center" vertical="center"/>
    </xf>
    <xf numFmtId="3" fontId="43" fillId="3" borderId="0" xfId="1" applyNumberFormat="1" applyFont="1" applyFill="1" applyBorder="1" applyAlignment="1">
      <alignment horizontal="center" vertical="center"/>
    </xf>
    <xf numFmtId="3" fontId="50" fillId="19" borderId="73" xfId="1" applyNumberFormat="1" applyFont="1" applyFill="1" applyBorder="1" applyAlignment="1">
      <alignment horizontal="center" vertical="center"/>
    </xf>
    <xf numFmtId="3" fontId="43" fillId="22" borderId="0" xfId="1" applyNumberFormat="1" applyFont="1" applyFill="1" applyBorder="1" applyAlignment="1">
      <alignment horizontal="center" vertical="center"/>
    </xf>
    <xf numFmtId="3" fontId="43" fillId="19" borderId="0" xfId="1" applyNumberFormat="1" applyFont="1" applyFill="1" applyBorder="1" applyAlignment="1">
      <alignment horizontal="center" vertical="center"/>
    </xf>
    <xf numFmtId="3" fontId="74" fillId="0" borderId="73" xfId="1" applyNumberFormat="1" applyFont="1" applyFill="1" applyBorder="1" applyAlignment="1">
      <alignment horizontal="center" vertical="center" shrinkToFit="1"/>
    </xf>
    <xf numFmtId="3" fontId="50" fillId="22" borderId="82" xfId="1" applyNumberFormat="1" applyFont="1" applyFill="1" applyBorder="1" applyAlignment="1">
      <alignment horizontal="center" vertical="center"/>
    </xf>
    <xf numFmtId="3" fontId="50" fillId="0" borderId="82" xfId="1" applyNumberFormat="1" applyFont="1" applyFill="1" applyBorder="1" applyAlignment="1">
      <alignment horizontal="center" vertical="center" shrinkToFit="1"/>
    </xf>
    <xf numFmtId="3" fontId="169" fillId="21" borderId="26" xfId="1" applyNumberFormat="1" applyFont="1" applyFill="1" applyBorder="1" applyAlignment="1">
      <alignment horizontal="center" vertical="center"/>
    </xf>
    <xf numFmtId="3" fontId="169" fillId="22" borderId="82" xfId="1" applyNumberFormat="1" applyFont="1" applyFill="1" applyBorder="1" applyAlignment="1">
      <alignment horizontal="center" vertical="center"/>
    </xf>
    <xf numFmtId="3" fontId="169" fillId="23" borderId="73" xfId="1" applyNumberFormat="1" applyFont="1" applyFill="1" applyBorder="1" applyAlignment="1">
      <alignment horizontal="center" vertical="center"/>
    </xf>
    <xf numFmtId="3" fontId="169" fillId="23" borderId="82" xfId="1" applyNumberFormat="1" applyFont="1" applyFill="1" applyBorder="1" applyAlignment="1">
      <alignment horizontal="center" vertical="center"/>
    </xf>
    <xf numFmtId="3" fontId="74" fillId="0" borderId="116" xfId="1" applyNumberFormat="1" applyFont="1" applyFill="1" applyBorder="1" applyAlignment="1">
      <alignment horizontal="center" vertical="center"/>
    </xf>
    <xf numFmtId="3" fontId="50" fillId="0" borderId="116" xfId="1" applyNumberFormat="1" applyFont="1" applyFill="1" applyBorder="1" applyAlignment="1">
      <alignment horizontal="center" vertical="center"/>
    </xf>
    <xf numFmtId="3" fontId="125" fillId="22" borderId="73" xfId="1" applyNumberFormat="1" applyFont="1" applyFill="1" applyBorder="1" applyAlignment="1">
      <alignment horizontal="center" vertical="center"/>
    </xf>
    <xf numFmtId="3" fontId="43" fillId="24" borderId="0" xfId="1" applyNumberFormat="1" applyFont="1" applyFill="1" applyBorder="1" applyAlignment="1">
      <alignment horizontal="center" vertical="center"/>
    </xf>
    <xf numFmtId="3" fontId="43" fillId="26" borderId="0" xfId="1" applyNumberFormat="1" applyFont="1" applyFill="1" applyBorder="1" applyAlignment="1">
      <alignment horizontal="center" vertical="center"/>
    </xf>
    <xf numFmtId="3" fontId="50" fillId="23" borderId="82" xfId="1" applyNumberFormat="1" applyFont="1" applyFill="1" applyBorder="1" applyAlignment="1">
      <alignment horizontal="center" vertical="center"/>
    </xf>
    <xf numFmtId="3" fontId="169" fillId="49" borderId="73" xfId="1" applyNumberFormat="1" applyFont="1" applyFill="1" applyBorder="1" applyAlignment="1">
      <alignment horizontal="center" vertical="center"/>
    </xf>
    <xf numFmtId="3" fontId="50" fillId="19" borderId="26" xfId="1" applyNumberFormat="1" applyFont="1" applyFill="1" applyBorder="1" applyAlignment="1">
      <alignment horizontal="center" vertical="center"/>
    </xf>
    <xf numFmtId="3" fontId="169" fillId="49" borderId="26" xfId="1" applyNumberFormat="1" applyFont="1" applyFill="1" applyBorder="1" applyAlignment="1">
      <alignment horizontal="center" vertical="center"/>
    </xf>
    <xf numFmtId="3" fontId="74" fillId="0" borderId="111" xfId="1" applyNumberFormat="1" applyFont="1" applyFill="1" applyBorder="1" applyAlignment="1">
      <alignment horizontal="center" vertical="center"/>
    </xf>
    <xf numFmtId="3" fontId="74" fillId="22" borderId="111" xfId="1" applyNumberFormat="1" applyFont="1" applyFill="1" applyBorder="1" applyAlignment="1">
      <alignment horizontal="center" vertical="center"/>
    </xf>
    <xf numFmtId="0" fontId="105" fillId="13" borderId="24" xfId="1" applyFont="1" applyFill="1" applyBorder="1" applyAlignment="1">
      <alignment horizontal="center" vertical="center"/>
    </xf>
    <xf numFmtId="0" fontId="2" fillId="13" borderId="82" xfId="1" applyFont="1" applyFill="1" applyBorder="1" applyAlignment="1">
      <alignment horizontal="left" vertical="center" wrapText="1"/>
    </xf>
    <xf numFmtId="0" fontId="25" fillId="0" borderId="248" xfId="1" applyFont="1" applyFill="1" applyBorder="1" applyAlignment="1">
      <alignment horizontal="center" vertical="center"/>
    </xf>
    <xf numFmtId="3" fontId="18" fillId="0" borderId="257" xfId="1" applyNumberFormat="1" applyFont="1" applyFill="1" applyBorder="1" applyAlignment="1">
      <alignment horizontal="center" vertical="center"/>
    </xf>
    <xf numFmtId="3" fontId="18" fillId="0" borderId="255" xfId="1" applyNumberFormat="1" applyFont="1" applyFill="1" applyBorder="1" applyAlignment="1">
      <alignment horizontal="center" vertical="center"/>
    </xf>
    <xf numFmtId="0" fontId="23" fillId="0" borderId="256" xfId="15" applyFill="1" applyBorder="1" applyAlignment="1">
      <alignment horizontal="left" vertical="center"/>
    </xf>
    <xf numFmtId="0" fontId="64" fillId="0" borderId="70" xfId="1" applyFont="1" applyFill="1" applyBorder="1" applyAlignment="1">
      <alignment horizontal="center"/>
    </xf>
    <xf numFmtId="0" fontId="120" fillId="0" borderId="69" xfId="1" applyFont="1" applyFill="1" applyBorder="1" applyAlignment="1">
      <alignment horizontal="center"/>
    </xf>
    <xf numFmtId="0" fontId="74" fillId="0" borderId="125" xfId="1" applyFont="1" applyFill="1" applyBorder="1" applyAlignment="1">
      <alignment horizontal="center" vertical="center"/>
    </xf>
    <xf numFmtId="0" fontId="26" fillId="0" borderId="254" xfId="1" applyFont="1" applyFill="1" applyBorder="1" applyAlignment="1">
      <alignment horizontal="center" vertical="center"/>
    </xf>
    <xf numFmtId="0" fontId="26" fillId="0" borderId="252" xfId="1" applyFont="1" applyFill="1" applyBorder="1" applyAlignment="1">
      <alignment horizontal="center" vertical="center"/>
    </xf>
    <xf numFmtId="3" fontId="18" fillId="0" borderId="156" xfId="1" applyNumberFormat="1" applyFont="1" applyFill="1" applyBorder="1" applyAlignment="1">
      <alignment horizontal="center" vertical="center"/>
    </xf>
    <xf numFmtId="0" fontId="23" fillId="0" borderId="266" xfId="15" applyFill="1" applyBorder="1" applyAlignment="1">
      <alignment horizontal="left" vertical="center"/>
    </xf>
    <xf numFmtId="0" fontId="25" fillId="0" borderId="262" xfId="1" applyFont="1" applyFill="1" applyBorder="1" applyAlignment="1">
      <alignment horizontal="center" vertical="center"/>
    </xf>
    <xf numFmtId="3" fontId="18" fillId="0" borderId="261" xfId="1" applyNumberFormat="1" applyFont="1" applyFill="1" applyBorder="1" applyAlignment="1">
      <alignment horizontal="center" vertical="center"/>
    </xf>
    <xf numFmtId="0" fontId="109" fillId="41" borderId="266" xfId="15" applyFont="1" applyFill="1" applyBorder="1" applyAlignment="1">
      <alignment horizontal="left" vertical="center"/>
    </xf>
    <xf numFmtId="3" fontId="53" fillId="0" borderId="68" xfId="1" applyNumberFormat="1" applyFont="1" applyFill="1" applyBorder="1" applyAlignment="1">
      <alignment horizontal="left" vertical="center"/>
    </xf>
    <xf numFmtId="0" fontId="107" fillId="0" borderId="68" xfId="1" applyFont="1" applyFill="1" applyBorder="1" applyAlignment="1">
      <alignment horizontal="left" vertical="center"/>
    </xf>
    <xf numFmtId="3" fontId="23" fillId="0" borderId="68" xfId="15" applyNumberFormat="1" applyFont="1" applyFill="1" applyBorder="1" applyAlignment="1">
      <alignment horizontal="left" vertical="center"/>
    </xf>
    <xf numFmtId="0" fontId="23" fillId="0" borderId="186" xfId="15" applyFont="1" applyFill="1" applyBorder="1" applyAlignment="1">
      <alignment horizontal="left" vertical="center"/>
    </xf>
    <xf numFmtId="3" fontId="53" fillId="0" borderId="65" xfId="1" applyNumberFormat="1" applyFont="1" applyFill="1" applyBorder="1" applyAlignment="1">
      <alignment horizontal="left" vertical="center"/>
    </xf>
    <xf numFmtId="0" fontId="107" fillId="0" borderId="186" xfId="1" applyFont="1" applyFill="1" applyBorder="1" applyAlignment="1">
      <alignment horizontal="left" vertical="center"/>
    </xf>
    <xf numFmtId="0" fontId="25" fillId="0" borderId="260" xfId="1" applyFont="1" applyFill="1" applyBorder="1" applyAlignment="1">
      <alignment horizontal="center" vertical="center"/>
    </xf>
    <xf numFmtId="3" fontId="18" fillId="0" borderId="259" xfId="1" applyNumberFormat="1" applyFont="1" applyFill="1" applyBorder="1" applyAlignment="1">
      <alignment horizontal="center" vertical="center"/>
    </xf>
    <xf numFmtId="3" fontId="18" fillId="0" borderId="258" xfId="1" applyNumberFormat="1" applyFont="1" applyFill="1" applyBorder="1" applyAlignment="1">
      <alignment horizontal="center" vertical="center"/>
    </xf>
    <xf numFmtId="3" fontId="18" fillId="0" borderId="267" xfId="1" applyNumberFormat="1" applyFont="1" applyFill="1" applyBorder="1" applyAlignment="1">
      <alignment horizontal="center" vertical="center"/>
    </xf>
    <xf numFmtId="3" fontId="18" fillId="0" borderId="268" xfId="1" applyNumberFormat="1" applyFont="1" applyFill="1" applyBorder="1" applyAlignment="1">
      <alignment horizontal="center" vertical="center"/>
    </xf>
    <xf numFmtId="0" fontId="2" fillId="0" borderId="266" xfId="1" applyFont="1" applyFill="1" applyBorder="1" applyAlignment="1">
      <alignment horizontal="left" vertical="center"/>
    </xf>
    <xf numFmtId="0" fontId="53" fillId="0" borderId="186" xfId="1" applyFont="1" applyFill="1" applyBorder="1" applyAlignment="1">
      <alignment horizontal="left" vertical="center"/>
    </xf>
    <xf numFmtId="0" fontId="127" fillId="0" borderId="68" xfId="15" applyFont="1" applyFill="1" applyBorder="1" applyAlignment="1">
      <alignment horizontal="left" vertical="center"/>
    </xf>
    <xf numFmtId="0" fontId="2" fillId="0" borderId="138" xfId="1" applyFont="1" applyFill="1" applyBorder="1" applyAlignment="1">
      <alignment horizontal="left" vertical="center"/>
    </xf>
    <xf numFmtId="0" fontId="127" fillId="41" borderId="266" xfId="15" applyFont="1" applyFill="1" applyBorder="1" applyAlignment="1">
      <alignment horizontal="left" vertical="center"/>
    </xf>
    <xf numFmtId="0" fontId="26" fillId="0" borderId="262" xfId="1" applyFont="1" applyFill="1" applyBorder="1" applyAlignment="1">
      <alignment horizontal="center" vertical="center"/>
    </xf>
    <xf numFmtId="0" fontId="25" fillId="0" borderId="143" xfId="1" applyFont="1" applyFill="1" applyBorder="1" applyAlignment="1">
      <alignment horizontal="center" vertical="center"/>
    </xf>
    <xf numFmtId="3" fontId="18" fillId="0" borderId="265" xfId="1" applyNumberFormat="1" applyFont="1" applyFill="1" applyBorder="1" applyAlignment="1">
      <alignment horizontal="center" vertical="center"/>
    </xf>
    <xf numFmtId="3" fontId="18" fillId="0" borderId="264" xfId="1" applyNumberFormat="1" applyFont="1" applyFill="1" applyBorder="1" applyAlignment="1">
      <alignment horizontal="center" vertical="center"/>
    </xf>
    <xf numFmtId="3" fontId="18" fillId="0" borderId="263" xfId="1" applyNumberFormat="1" applyFont="1" applyFill="1" applyBorder="1" applyAlignment="1">
      <alignment horizontal="center" vertical="center"/>
    </xf>
    <xf numFmtId="3" fontId="144" fillId="0" borderId="41" xfId="1" applyNumberFormat="1" applyFont="1" applyFill="1" applyBorder="1" applyAlignment="1">
      <alignment horizontal="left" vertical="center"/>
    </xf>
    <xf numFmtId="3" fontId="23" fillId="0" borderId="5" xfId="15" applyNumberFormat="1" applyFont="1" applyFill="1" applyBorder="1" applyAlignment="1">
      <alignment horizontal="left" vertical="center"/>
    </xf>
    <xf numFmtId="0" fontId="23" fillId="0" borderId="5" xfId="15" applyFont="1" applyFill="1" applyBorder="1" applyAlignment="1">
      <alignment horizontal="left" vertical="center"/>
    </xf>
    <xf numFmtId="0" fontId="23" fillId="0" borderId="138" xfId="15" applyFont="1" applyFill="1" applyBorder="1" applyAlignment="1">
      <alignment horizontal="left" vertical="center"/>
    </xf>
    <xf numFmtId="0" fontId="23" fillId="0" borderId="172" xfId="15" applyFont="1" applyFill="1" applyBorder="1" applyAlignment="1">
      <alignment horizontal="left" vertical="center"/>
    </xf>
    <xf numFmtId="0" fontId="107" fillId="0" borderId="5" xfId="1" applyFont="1" applyFill="1" applyBorder="1" applyAlignment="1">
      <alignment horizontal="left" vertical="center"/>
    </xf>
    <xf numFmtId="0" fontId="23" fillId="0" borderId="92" xfId="15" applyFont="1" applyFill="1" applyBorder="1" applyAlignment="1">
      <alignment horizontal="left" vertical="center"/>
    </xf>
    <xf numFmtId="0" fontId="23" fillId="0" borderId="101" xfId="15" applyFont="1" applyFill="1" applyBorder="1" applyAlignment="1">
      <alignment horizontal="left" vertical="center"/>
    </xf>
    <xf numFmtId="3" fontId="53" fillId="0" borderId="266" xfId="1" applyNumberFormat="1" applyFont="1" applyFill="1" applyBorder="1" applyAlignment="1">
      <alignment horizontal="left" vertical="center"/>
    </xf>
    <xf numFmtId="3" fontId="23" fillId="0" borderId="266" xfId="15" applyNumberFormat="1" applyFont="1" applyFill="1" applyBorder="1" applyAlignment="1">
      <alignment horizontal="left" vertical="center"/>
    </xf>
    <xf numFmtId="0" fontId="26" fillId="0" borderId="260" xfId="1" applyFont="1" applyFill="1" applyBorder="1" applyAlignment="1">
      <alignment horizontal="center" vertical="center"/>
    </xf>
    <xf numFmtId="3" fontId="128" fillId="0" borderId="268" xfId="1" applyNumberFormat="1" applyFont="1" applyFill="1" applyBorder="1" applyAlignment="1">
      <alignment horizontal="center" vertical="center"/>
    </xf>
    <xf numFmtId="3" fontId="18" fillId="0" borderId="103" xfId="1" applyNumberFormat="1" applyFont="1" applyFill="1" applyBorder="1" applyAlignment="1">
      <alignment horizontal="center" vertical="center"/>
    </xf>
    <xf numFmtId="0" fontId="23" fillId="0" borderId="92" xfId="15" applyFill="1" applyBorder="1" applyAlignment="1">
      <alignment horizontal="left" vertical="center"/>
    </xf>
    <xf numFmtId="0" fontId="2" fillId="0" borderId="68" xfId="1" applyFont="1" applyFill="1" applyBorder="1" applyAlignment="1">
      <alignment horizontal="left" vertical="center"/>
    </xf>
    <xf numFmtId="0" fontId="50" fillId="0" borderId="101" xfId="1" applyFont="1" applyFill="1" applyBorder="1" applyAlignment="1">
      <alignment horizontal="left" vertical="center"/>
    </xf>
    <xf numFmtId="0" fontId="120" fillId="0" borderId="40" xfId="1" applyFont="1" applyFill="1" applyBorder="1" applyAlignment="1">
      <alignment horizontal="center"/>
    </xf>
    <xf numFmtId="0" fontId="25" fillId="0" borderId="265" xfId="1" applyFont="1" applyFill="1" applyBorder="1" applyAlignment="1">
      <alignment horizontal="center" vertical="center"/>
    </xf>
    <xf numFmtId="0" fontId="25" fillId="0" borderId="252" xfId="1" applyFont="1" applyFill="1" applyBorder="1" applyAlignment="1">
      <alignment horizontal="center" vertical="center"/>
    </xf>
    <xf numFmtId="3" fontId="18" fillId="0" borderId="251" xfId="1" applyNumberFormat="1" applyFont="1" applyFill="1" applyBorder="1" applyAlignment="1">
      <alignment horizontal="center" vertical="center"/>
    </xf>
    <xf numFmtId="0" fontId="23" fillId="41" borderId="5" xfId="15" applyFill="1" applyBorder="1" applyAlignment="1">
      <alignment horizontal="left" vertical="center"/>
    </xf>
    <xf numFmtId="3" fontId="18" fillId="0" borderId="269" xfId="1" applyNumberFormat="1" applyFont="1" applyFill="1" applyBorder="1" applyAlignment="1">
      <alignment horizontal="center" vertical="center"/>
    </xf>
    <xf numFmtId="0" fontId="64" fillId="0" borderId="262" xfId="1" applyFont="1" applyFill="1" applyBorder="1" applyAlignment="1">
      <alignment horizontal="center"/>
    </xf>
    <xf numFmtId="0" fontId="26" fillId="0" borderId="188" xfId="1" applyFont="1" applyFill="1" applyBorder="1" applyAlignment="1">
      <alignment horizontal="center" vertical="center"/>
    </xf>
    <xf numFmtId="0" fontId="26" fillId="0" borderId="143" xfId="1" applyFont="1" applyFill="1" applyBorder="1" applyAlignment="1">
      <alignment horizontal="center" vertical="center"/>
    </xf>
    <xf numFmtId="3" fontId="128" fillId="0" borderId="258" xfId="1" applyNumberFormat="1" applyFont="1" applyFill="1" applyBorder="1" applyAlignment="1">
      <alignment horizontal="center" vertical="center"/>
    </xf>
    <xf numFmtId="3" fontId="18" fillId="0" borderId="253" xfId="1" applyNumberFormat="1" applyFont="1" applyFill="1" applyBorder="1" applyAlignment="1">
      <alignment horizontal="center" vertical="center"/>
    </xf>
    <xf numFmtId="0" fontId="23" fillId="0" borderId="253" xfId="15" applyFont="1" applyFill="1" applyBorder="1" applyAlignment="1">
      <alignment horizontal="left" vertical="center"/>
    </xf>
    <xf numFmtId="3" fontId="53" fillId="0" borderId="92" xfId="1" applyNumberFormat="1" applyFont="1" applyFill="1" applyBorder="1" applyAlignment="1">
      <alignment horizontal="left" vertical="center"/>
    </xf>
    <xf numFmtId="3" fontId="50" fillId="0" borderId="272" xfId="1" applyNumberFormat="1" applyFont="1" applyFill="1" applyBorder="1" applyAlignment="1">
      <alignment horizontal="center" vertical="center"/>
    </xf>
    <xf numFmtId="3" fontId="169" fillId="0" borderId="272" xfId="1" applyNumberFormat="1" applyFont="1" applyFill="1" applyBorder="1" applyAlignment="1">
      <alignment horizontal="center" vertical="center"/>
    </xf>
    <xf numFmtId="0" fontId="115" fillId="0" borderId="273" xfId="1" applyFont="1" applyFill="1" applyBorder="1" applyAlignment="1">
      <alignment horizontal="center" vertical="center"/>
    </xf>
    <xf numFmtId="0" fontId="115" fillId="0" borderId="4" xfId="1" applyFont="1" applyFill="1" applyBorder="1" applyAlignment="1">
      <alignment horizontal="center"/>
    </xf>
    <xf numFmtId="3" fontId="169" fillId="0" borderId="274" xfId="1" applyNumberFormat="1" applyFont="1" applyFill="1" applyBorder="1" applyAlignment="1">
      <alignment horizontal="center" vertical="center"/>
    </xf>
    <xf numFmtId="3" fontId="74" fillId="0" borderId="19" xfId="1" applyNumberFormat="1" applyFont="1" applyFill="1" applyBorder="1" applyAlignment="1">
      <alignment horizontal="center" vertical="center"/>
    </xf>
    <xf numFmtId="3" fontId="50" fillId="0" borderId="193" xfId="1" applyNumberFormat="1" applyFont="1" applyFill="1" applyBorder="1" applyAlignment="1">
      <alignment horizontal="center" vertical="center"/>
    </xf>
    <xf numFmtId="3" fontId="53" fillId="0" borderId="193" xfId="1" applyNumberFormat="1" applyFont="1" applyFill="1" applyBorder="1" applyAlignment="1">
      <alignment horizontal="left" vertical="center"/>
    </xf>
    <xf numFmtId="174" fontId="53" fillId="0" borderId="193" xfId="1" applyNumberFormat="1" applyFont="1" applyFill="1" applyBorder="1" applyAlignment="1">
      <alignment horizontal="center" vertical="center"/>
    </xf>
    <xf numFmtId="14" fontId="53" fillId="0" borderId="193" xfId="1" applyNumberFormat="1" applyFont="1" applyFill="1" applyBorder="1" applyAlignment="1">
      <alignment horizontal="center" vertical="center"/>
    </xf>
    <xf numFmtId="2" fontId="53" fillId="0" borderId="21" xfId="1" applyNumberFormat="1" applyFont="1" applyFill="1" applyBorder="1" applyAlignment="1">
      <alignment horizontal="center" vertical="center"/>
    </xf>
    <xf numFmtId="3" fontId="50" fillId="0" borderId="280" xfId="1" applyNumberFormat="1" applyFont="1" applyFill="1" applyBorder="1" applyAlignment="1">
      <alignment horizontal="center" vertical="center"/>
    </xf>
    <xf numFmtId="3" fontId="50" fillId="0" borderId="275" xfId="1" applyNumberFormat="1" applyFont="1" applyFill="1" applyBorder="1" applyAlignment="1">
      <alignment horizontal="center" vertical="center"/>
    </xf>
    <xf numFmtId="3" fontId="74" fillId="0" borderId="193" xfId="1" applyNumberFormat="1" applyFont="1" applyFill="1" applyBorder="1" applyAlignment="1">
      <alignment horizontal="center" vertical="center"/>
    </xf>
    <xf numFmtId="3" fontId="50" fillId="0" borderId="19" xfId="1" applyNumberFormat="1" applyFont="1" applyFill="1" applyBorder="1" applyAlignment="1">
      <alignment horizontal="center" vertical="center"/>
    </xf>
    <xf numFmtId="3" fontId="169" fillId="6" borderId="272" xfId="1" applyNumberFormat="1" applyFont="1" applyFill="1" applyBorder="1" applyAlignment="1">
      <alignment horizontal="center" vertical="center"/>
    </xf>
    <xf numFmtId="3" fontId="50" fillId="0" borderId="258" xfId="1" applyNumberFormat="1" applyFont="1" applyFill="1" applyBorder="1" applyAlignment="1">
      <alignment horizontal="center" vertical="center"/>
    </xf>
    <xf numFmtId="3" fontId="50" fillId="0" borderId="282" xfId="1" applyNumberFormat="1" applyFont="1" applyFill="1" applyBorder="1" applyAlignment="1">
      <alignment horizontal="center" vertical="center"/>
    </xf>
    <xf numFmtId="0" fontId="113" fillId="6" borderId="27" xfId="1" applyFont="1" applyFill="1" applyBorder="1" applyAlignment="1">
      <alignment horizontal="center" vertical="center"/>
    </xf>
    <xf numFmtId="0" fontId="23" fillId="6" borderId="4" xfId="15" applyFont="1" applyFill="1" applyBorder="1" applyAlignment="1">
      <alignment horizontal="left" vertical="center"/>
    </xf>
    <xf numFmtId="0" fontId="115" fillId="6" borderId="4" xfId="1" applyFont="1" applyFill="1" applyBorder="1" applyAlignment="1">
      <alignment horizontal="center"/>
    </xf>
    <xf numFmtId="3" fontId="169" fillId="6" borderId="274" xfId="1" applyNumberFormat="1" applyFont="1" applyFill="1" applyBorder="1" applyAlignment="1">
      <alignment horizontal="center" vertical="center"/>
    </xf>
    <xf numFmtId="3" fontId="53" fillId="6" borderId="193" xfId="1" applyNumberFormat="1" applyFont="1" applyFill="1" applyBorder="1" applyAlignment="1">
      <alignment horizontal="left" vertical="center"/>
    </xf>
    <xf numFmtId="3" fontId="53" fillId="6" borderId="193" xfId="1" applyNumberFormat="1" applyFont="1" applyFill="1" applyBorder="1" applyAlignment="1">
      <alignment horizontal="center" vertical="center"/>
    </xf>
    <xf numFmtId="0" fontId="2" fillId="6" borderId="193" xfId="1" applyFont="1" applyFill="1" applyBorder="1" applyAlignment="1">
      <alignment horizontal="center" vertical="center"/>
    </xf>
    <xf numFmtId="174" fontId="53" fillId="6" borderId="193" xfId="1" applyNumberFormat="1" applyFont="1" applyFill="1" applyBorder="1" applyAlignment="1">
      <alignment horizontal="center" vertical="center"/>
    </xf>
    <xf numFmtId="14" fontId="53" fillId="6" borderId="193" xfId="1" applyNumberFormat="1" applyFont="1" applyFill="1" applyBorder="1" applyAlignment="1">
      <alignment horizontal="center" vertical="center"/>
    </xf>
    <xf numFmtId="2" fontId="53" fillId="6" borderId="21" xfId="1" applyNumberFormat="1" applyFont="1" applyFill="1" applyBorder="1" applyAlignment="1">
      <alignment horizontal="center" vertical="center"/>
    </xf>
    <xf numFmtId="0" fontId="23" fillId="15" borderId="0" xfId="15" applyFont="1" applyFill="1" applyBorder="1" applyAlignment="1">
      <alignment horizontal="left" vertical="center"/>
    </xf>
    <xf numFmtId="0" fontId="115" fillId="6" borderId="273" xfId="1" applyFont="1" applyFill="1" applyBorder="1" applyAlignment="1">
      <alignment horizontal="center" vertical="center"/>
    </xf>
    <xf numFmtId="3" fontId="74" fillId="0" borderId="258" xfId="1" applyNumberFormat="1" applyFont="1" applyFill="1" applyBorder="1" applyAlignment="1">
      <alignment horizontal="center" vertical="center"/>
    </xf>
    <xf numFmtId="0" fontId="2" fillId="10" borderId="73" xfId="1" applyFont="1" applyFill="1" applyBorder="1" applyAlignment="1">
      <alignment horizontal="center" vertical="center"/>
    </xf>
    <xf numFmtId="3" fontId="50" fillId="9" borderId="272" xfId="1" applyNumberFormat="1" applyFont="1" applyFill="1" applyBorder="1" applyAlignment="1">
      <alignment horizontal="center" vertical="center"/>
    </xf>
    <xf numFmtId="3" fontId="169" fillId="9" borderId="272" xfId="1" applyNumberFormat="1" applyFont="1" applyFill="1" applyBorder="1" applyAlignment="1">
      <alignment horizontal="center" vertical="center"/>
    </xf>
    <xf numFmtId="3" fontId="169" fillId="8" borderId="272" xfId="1" applyNumberFormat="1" applyFont="1" applyFill="1" applyBorder="1" applyAlignment="1">
      <alignment horizontal="center" vertical="center"/>
    </xf>
    <xf numFmtId="0" fontId="108" fillId="8" borderId="73" xfId="1" applyFont="1" applyFill="1" applyBorder="1" applyAlignment="1">
      <alignment horizontal="center" vertical="center"/>
    </xf>
    <xf numFmtId="3" fontId="169" fillId="8" borderId="29" xfId="1" applyNumberFormat="1" applyFont="1" applyFill="1" applyBorder="1" applyAlignment="1">
      <alignment horizontal="center" vertical="center"/>
    </xf>
    <xf numFmtId="0" fontId="115" fillId="6" borderId="111" xfId="1" applyFont="1" applyFill="1" applyBorder="1" applyAlignment="1">
      <alignment horizontal="center" vertical="center"/>
    </xf>
    <xf numFmtId="0" fontId="23" fillId="8" borderId="0" xfId="15" applyFont="1" applyFill="1" applyBorder="1" applyAlignment="1">
      <alignment horizontal="left" vertical="center"/>
    </xf>
    <xf numFmtId="3" fontId="108" fillId="8" borderId="73" xfId="1" applyNumberFormat="1" applyFont="1" applyFill="1" applyBorder="1" applyAlignment="1">
      <alignment horizontal="center" vertical="center"/>
    </xf>
    <xf numFmtId="0" fontId="162" fillId="39" borderId="17" xfId="1" applyFont="1" applyFill="1" applyBorder="1" applyAlignment="1">
      <alignment horizontal="center" vertical="center"/>
    </xf>
    <xf numFmtId="0" fontId="116" fillId="39" borderId="0" xfId="1" applyFont="1" applyFill="1" applyBorder="1" applyAlignment="1">
      <alignment horizontal="center"/>
    </xf>
    <xf numFmtId="3" fontId="53" fillId="39" borderId="73" xfId="1" applyNumberFormat="1" applyFont="1" applyFill="1" applyBorder="1" applyAlignment="1">
      <alignment horizontal="left" vertical="center"/>
    </xf>
    <xf numFmtId="3" fontId="108" fillId="39" borderId="73" xfId="1" applyNumberFormat="1" applyFont="1" applyFill="1" applyBorder="1" applyAlignment="1">
      <alignment horizontal="center" vertical="center"/>
    </xf>
    <xf numFmtId="0" fontId="2" fillId="39" borderId="73" xfId="1" applyFont="1" applyFill="1" applyBorder="1" applyAlignment="1">
      <alignment horizontal="center" vertical="center"/>
    </xf>
    <xf numFmtId="174" fontId="2" fillId="39" borderId="73" xfId="1" applyNumberFormat="1" applyFont="1" applyFill="1" applyBorder="1" applyAlignment="1">
      <alignment horizontal="center" vertical="center"/>
    </xf>
    <xf numFmtId="14" fontId="53" fillId="39" borderId="73" xfId="1" applyNumberFormat="1" applyFont="1" applyFill="1" applyBorder="1" applyAlignment="1">
      <alignment horizontal="center" vertical="center"/>
    </xf>
    <xf numFmtId="2" fontId="53" fillId="39" borderId="112" xfId="1" applyNumberFormat="1" applyFont="1" applyFill="1" applyBorder="1" applyAlignment="1">
      <alignment horizontal="center" vertical="center"/>
    </xf>
    <xf numFmtId="0" fontId="162" fillId="35" borderId="17" xfId="1" applyFont="1" applyFill="1" applyBorder="1" applyAlignment="1">
      <alignment horizontal="center" vertical="center"/>
    </xf>
    <xf numFmtId="174" fontId="2" fillId="35" borderId="73" xfId="1" applyNumberFormat="1" applyFont="1" applyFill="1" applyBorder="1" applyAlignment="1">
      <alignment horizontal="center" vertical="center"/>
    </xf>
    <xf numFmtId="3" fontId="50" fillId="0" borderId="135" xfId="1" applyNumberFormat="1" applyFont="1" applyFill="1" applyBorder="1" applyAlignment="1">
      <alignment horizontal="center" vertical="center"/>
    </xf>
    <xf numFmtId="0" fontId="23" fillId="34" borderId="0" xfId="15" applyFont="1" applyFill="1" applyBorder="1" applyAlignment="1">
      <alignment horizontal="left" vertical="center"/>
    </xf>
    <xf numFmtId="0" fontId="115" fillId="34" borderId="111" xfId="1" applyFont="1" applyFill="1" applyBorder="1" applyAlignment="1">
      <alignment horizontal="center"/>
    </xf>
    <xf numFmtId="0" fontId="115" fillId="36" borderId="0" xfId="1" applyFont="1" applyFill="1" applyBorder="1" applyAlignment="1">
      <alignment horizontal="center"/>
    </xf>
    <xf numFmtId="3" fontId="169" fillId="36" borderId="29" xfId="1" applyNumberFormat="1" applyFont="1" applyFill="1" applyBorder="1" applyAlignment="1">
      <alignment horizontal="center" vertical="center"/>
    </xf>
    <xf numFmtId="0" fontId="115" fillId="35" borderId="111" xfId="1" applyFont="1" applyFill="1" applyBorder="1" applyAlignment="1">
      <alignment horizontal="center" vertical="center"/>
    </xf>
    <xf numFmtId="0" fontId="113" fillId="37" borderId="17" xfId="1" applyFont="1" applyFill="1" applyBorder="1" applyAlignment="1">
      <alignment horizontal="center" vertical="center"/>
    </xf>
    <xf numFmtId="0" fontId="23" fillId="37" borderId="0" xfId="15" applyFont="1" applyFill="1" applyBorder="1" applyAlignment="1">
      <alignment horizontal="left" vertical="center"/>
    </xf>
    <xf numFmtId="0" fontId="127" fillId="35" borderId="0" xfId="15" applyFont="1" applyFill="1" applyBorder="1" applyAlignment="1">
      <alignment horizontal="left" vertical="center"/>
    </xf>
    <xf numFmtId="0" fontId="115" fillId="36" borderId="111" xfId="1" applyFont="1" applyFill="1" applyBorder="1" applyAlignment="1">
      <alignment horizontal="center"/>
    </xf>
    <xf numFmtId="3" fontId="2" fillId="35" borderId="73" xfId="1" applyNumberFormat="1" applyFont="1" applyFill="1" applyBorder="1" applyAlignment="1">
      <alignment horizontal="center" vertical="center"/>
    </xf>
    <xf numFmtId="0" fontId="115" fillId="37" borderId="111" xfId="1" applyFont="1" applyFill="1" applyBorder="1" applyAlignment="1">
      <alignment horizontal="center"/>
    </xf>
    <xf numFmtId="0" fontId="142" fillId="4" borderId="0" xfId="1" applyFont="1" applyFill="1" applyBorder="1" applyAlignment="1">
      <alignment horizontal="left" vertical="center"/>
    </xf>
    <xf numFmtId="3" fontId="2" fillId="37" borderId="73" xfId="1" applyNumberFormat="1" applyFont="1" applyFill="1" applyBorder="1" applyAlignment="1">
      <alignment horizontal="left" vertical="center"/>
    </xf>
    <xf numFmtId="3" fontId="2" fillId="37" borderId="73" xfId="1" applyNumberFormat="1" applyFont="1" applyFill="1" applyBorder="1" applyAlignment="1">
      <alignment horizontal="center" vertical="center"/>
    </xf>
    <xf numFmtId="2" fontId="53" fillId="43" borderId="112" xfId="1" applyNumberFormat="1" applyFont="1" applyFill="1" applyBorder="1" applyAlignment="1">
      <alignment horizontal="center" vertical="center"/>
    </xf>
    <xf numFmtId="0" fontId="113" fillId="6" borderId="276" xfId="1" applyFont="1" applyFill="1" applyBorder="1" applyAlignment="1">
      <alignment horizontal="center" vertical="center"/>
    </xf>
    <xf numFmtId="0" fontId="53" fillId="6" borderId="277" xfId="1" applyFont="1" applyFill="1" applyBorder="1" applyAlignment="1">
      <alignment horizontal="left" vertical="center"/>
    </xf>
    <xf numFmtId="0" fontId="53" fillId="6" borderId="280" xfId="1" applyFont="1" applyFill="1" applyBorder="1" applyAlignment="1">
      <alignment horizontal="center"/>
    </xf>
    <xf numFmtId="3" fontId="169" fillId="6" borderId="279" xfId="1" applyNumberFormat="1" applyFont="1" applyFill="1" applyBorder="1" applyAlignment="1">
      <alignment horizontal="center" vertical="center"/>
    </xf>
    <xf numFmtId="3" fontId="74" fillId="0" borderId="275" xfId="1" applyNumberFormat="1" applyFont="1" applyFill="1" applyBorder="1" applyAlignment="1">
      <alignment horizontal="center" vertical="center"/>
    </xf>
    <xf numFmtId="3" fontId="50" fillId="0" borderId="290" xfId="1" applyNumberFormat="1" applyFont="1" applyFill="1" applyBorder="1" applyAlignment="1">
      <alignment horizontal="center" vertical="center"/>
    </xf>
    <xf numFmtId="3" fontId="53" fillId="6" borderId="275" xfId="1" applyNumberFormat="1" applyFont="1" applyFill="1" applyBorder="1" applyAlignment="1">
      <alignment horizontal="left" vertical="center"/>
    </xf>
    <xf numFmtId="3" fontId="53" fillId="6" borderId="275" xfId="1" applyNumberFormat="1" applyFont="1" applyFill="1" applyBorder="1" applyAlignment="1">
      <alignment horizontal="center" vertical="center"/>
    </xf>
    <xf numFmtId="0" fontId="2" fillId="6" borderId="275" xfId="1" applyFont="1" applyFill="1" applyBorder="1" applyAlignment="1">
      <alignment horizontal="center" vertical="center"/>
    </xf>
    <xf numFmtId="174" fontId="53" fillId="6" borderId="275" xfId="1" applyNumberFormat="1" applyFont="1" applyFill="1" applyBorder="1" applyAlignment="1">
      <alignment horizontal="center" vertical="center"/>
    </xf>
    <xf numFmtId="14" fontId="53" fillId="6" borderId="275" xfId="1" applyNumberFormat="1" applyFont="1" applyFill="1" applyBorder="1" applyAlignment="1">
      <alignment horizontal="center" vertical="center"/>
    </xf>
    <xf numFmtId="2" fontId="53" fillId="6" borderId="281" xfId="1" applyNumberFormat="1" applyFont="1" applyFill="1" applyBorder="1" applyAlignment="1">
      <alignment horizontal="center" vertical="center"/>
    </xf>
    <xf numFmtId="3" fontId="169" fillId="6" borderId="197" xfId="1" applyNumberFormat="1" applyFont="1" applyFill="1" applyBorder="1" applyAlignment="1">
      <alignment horizontal="center" vertical="center"/>
    </xf>
    <xf numFmtId="3" fontId="50" fillId="0" borderId="55" xfId="1" applyNumberFormat="1" applyFont="1" applyFill="1" applyBorder="1" applyAlignment="1">
      <alignment horizontal="center" vertical="center"/>
    </xf>
    <xf numFmtId="0" fontId="162" fillId="6" borderId="276" xfId="1" applyFont="1" applyFill="1" applyBorder="1" applyAlignment="1">
      <alignment horizontal="center" vertical="center"/>
    </xf>
    <xf numFmtId="0" fontId="116" fillId="6" borderId="277" xfId="1" applyFont="1" applyFill="1" applyBorder="1" applyAlignment="1">
      <alignment horizontal="center"/>
    </xf>
    <xf numFmtId="0" fontId="162" fillId="9" borderId="276" xfId="1" applyFont="1" applyFill="1" applyBorder="1" applyAlignment="1">
      <alignment horizontal="center" vertical="center"/>
    </xf>
    <xf numFmtId="0" fontId="53" fillId="9" borderId="277" xfId="1" applyFont="1" applyFill="1" applyBorder="1" applyAlignment="1">
      <alignment horizontal="left" vertical="center"/>
    </xf>
    <xf numFmtId="0" fontId="115" fillId="6" borderId="277" xfId="1" applyFont="1" applyFill="1" applyBorder="1" applyAlignment="1">
      <alignment horizontal="center" vertical="center"/>
    </xf>
    <xf numFmtId="3" fontId="169" fillId="9" borderId="291" xfId="1" applyNumberFormat="1" applyFont="1" applyFill="1" applyBorder="1" applyAlignment="1">
      <alignment horizontal="center" vertical="center"/>
    </xf>
    <xf numFmtId="3" fontId="74" fillId="0" borderId="280" xfId="1" applyNumberFormat="1" applyFont="1" applyFill="1" applyBorder="1" applyAlignment="1">
      <alignment horizontal="center" vertical="center"/>
    </xf>
    <xf numFmtId="3" fontId="53" fillId="9" borderId="275" xfId="1" applyNumberFormat="1" applyFont="1" applyFill="1" applyBorder="1" applyAlignment="1">
      <alignment horizontal="left" vertical="center"/>
    </xf>
    <xf numFmtId="3" fontId="53" fillId="9" borderId="275" xfId="1" applyNumberFormat="1" applyFont="1" applyFill="1" applyBorder="1" applyAlignment="1">
      <alignment horizontal="center" vertical="center"/>
    </xf>
    <xf numFmtId="0" fontId="113" fillId="9" borderId="275" xfId="1" applyFont="1" applyFill="1" applyBorder="1" applyAlignment="1">
      <alignment horizontal="center" vertical="center"/>
    </xf>
    <xf numFmtId="174" fontId="53" fillId="9" borderId="275" xfId="1" applyNumberFormat="1" applyFont="1" applyFill="1" applyBorder="1" applyAlignment="1">
      <alignment horizontal="center" vertical="center"/>
    </xf>
    <xf numFmtId="14" fontId="53" fillId="9" borderId="275" xfId="1" applyNumberFormat="1" applyFont="1" applyFill="1" applyBorder="1" applyAlignment="1">
      <alignment horizontal="center" vertical="center"/>
    </xf>
    <xf numFmtId="0" fontId="23" fillId="28" borderId="4" xfId="15" applyFont="1" applyFill="1" applyBorder="1" applyAlignment="1">
      <alignment horizontal="left" vertical="center"/>
    </xf>
    <xf numFmtId="3" fontId="53" fillId="8" borderId="193" xfId="1" applyNumberFormat="1" applyFont="1" applyFill="1" applyBorder="1" applyAlignment="1">
      <alignment horizontal="left" vertical="center"/>
    </xf>
    <xf numFmtId="3" fontId="53" fillId="8" borderId="193" xfId="1" applyNumberFormat="1" applyFont="1" applyFill="1" applyBorder="1" applyAlignment="1">
      <alignment horizontal="center" vertical="center"/>
    </xf>
    <xf numFmtId="0" fontId="2" fillId="8" borderId="193" xfId="1" applyFont="1" applyFill="1" applyBorder="1" applyAlignment="1">
      <alignment horizontal="center" vertical="center"/>
    </xf>
    <xf numFmtId="174" fontId="53" fillId="8" borderId="193" xfId="1" applyNumberFormat="1" applyFont="1" applyFill="1" applyBorder="1" applyAlignment="1">
      <alignment horizontal="center" vertical="center"/>
    </xf>
    <xf numFmtId="14" fontId="53" fillId="8" borderId="193" xfId="1" applyNumberFormat="1" applyFont="1" applyFill="1" applyBorder="1" applyAlignment="1">
      <alignment horizontal="center" vertical="center"/>
    </xf>
    <xf numFmtId="0" fontId="23" fillId="6" borderId="277" xfId="15" applyFont="1" applyFill="1" applyBorder="1" applyAlignment="1">
      <alignment horizontal="left" vertical="center"/>
    </xf>
    <xf numFmtId="3" fontId="50" fillId="8" borderId="291" xfId="1" applyNumberFormat="1" applyFont="1" applyFill="1" applyBorder="1" applyAlignment="1">
      <alignment horizontal="center" vertical="center"/>
    </xf>
    <xf numFmtId="3" fontId="53" fillId="8" borderId="275" xfId="1" applyNumberFormat="1" applyFont="1" applyFill="1" applyBorder="1" applyAlignment="1">
      <alignment horizontal="left" vertical="center"/>
    </xf>
    <xf numFmtId="3" fontId="53" fillId="8" borderId="275" xfId="1" applyNumberFormat="1" applyFont="1" applyFill="1" applyBorder="1" applyAlignment="1">
      <alignment horizontal="center" vertical="center"/>
    </xf>
    <xf numFmtId="0" fontId="2" fillId="8" borderId="275" xfId="1" applyFont="1" applyFill="1" applyBorder="1" applyAlignment="1">
      <alignment horizontal="center" vertical="center"/>
    </xf>
    <xf numFmtId="174" fontId="53" fillId="8" borderId="275" xfId="1" applyNumberFormat="1" applyFont="1" applyFill="1" applyBorder="1" applyAlignment="1">
      <alignment horizontal="center" vertical="center"/>
    </xf>
    <xf numFmtId="14" fontId="53" fillId="8" borderId="275" xfId="1" applyNumberFormat="1" applyFont="1" applyFill="1" applyBorder="1" applyAlignment="1">
      <alignment horizontal="center" vertical="center"/>
    </xf>
    <xf numFmtId="3" fontId="50" fillId="6" borderId="197" xfId="1" applyNumberFormat="1" applyFont="1" applyFill="1" applyBorder="1" applyAlignment="1">
      <alignment horizontal="center" vertical="center"/>
    </xf>
    <xf numFmtId="0" fontId="53" fillId="6" borderId="4" xfId="1" applyFont="1" applyFill="1" applyBorder="1" applyAlignment="1">
      <alignment horizontal="left" vertical="center"/>
    </xf>
    <xf numFmtId="0" fontId="113" fillId="35" borderId="292" xfId="1" applyFont="1" applyFill="1" applyBorder="1" applyAlignment="1">
      <alignment horizontal="center" vertical="center"/>
    </xf>
    <xf numFmtId="0" fontId="53" fillId="35" borderId="277" xfId="1" applyFont="1" applyFill="1" applyBorder="1" applyAlignment="1">
      <alignment horizontal="left" vertical="center"/>
    </xf>
    <xf numFmtId="0" fontId="115" fillId="35" borderId="293" xfId="1" applyFont="1" applyFill="1" applyBorder="1" applyAlignment="1">
      <alignment horizontal="center" vertical="center"/>
    </xf>
    <xf numFmtId="3" fontId="169" fillId="35" borderId="291" xfId="1" applyNumberFormat="1" applyFont="1" applyFill="1" applyBorder="1" applyAlignment="1">
      <alignment horizontal="center" vertical="center"/>
    </xf>
    <xf numFmtId="3" fontId="50" fillId="0" borderId="294" xfId="1" applyNumberFormat="1" applyFont="1" applyFill="1" applyBorder="1" applyAlignment="1">
      <alignment horizontal="center" vertical="center"/>
    </xf>
    <xf numFmtId="3" fontId="53" fillId="35" borderId="291" xfId="1" applyNumberFormat="1" applyFont="1" applyFill="1" applyBorder="1" applyAlignment="1">
      <alignment horizontal="left" vertical="center"/>
    </xf>
    <xf numFmtId="3" fontId="53" fillId="35" borderId="291" xfId="1" applyNumberFormat="1" applyFont="1" applyFill="1" applyBorder="1" applyAlignment="1">
      <alignment horizontal="center" vertical="center"/>
    </xf>
    <xf numFmtId="0" fontId="2" fillId="35" borderId="291" xfId="1" applyFont="1" applyFill="1" applyBorder="1" applyAlignment="1">
      <alignment horizontal="center" vertical="center"/>
    </xf>
    <xf numFmtId="174" fontId="53" fillId="35" borderId="275" xfId="1" applyNumberFormat="1" applyFont="1" applyFill="1" applyBorder="1" applyAlignment="1">
      <alignment horizontal="center" vertical="center"/>
    </xf>
    <xf numFmtId="14" fontId="53" fillId="35" borderId="291" xfId="1" applyNumberFormat="1" applyFont="1" applyFill="1" applyBorder="1" applyAlignment="1">
      <alignment horizontal="center" vertical="center"/>
    </xf>
    <xf numFmtId="2" fontId="53" fillId="35" borderId="295" xfId="1" applyNumberFormat="1" applyFont="1" applyFill="1" applyBorder="1" applyAlignment="1">
      <alignment horizontal="center" vertical="center"/>
    </xf>
    <xf numFmtId="0" fontId="113" fillId="35" borderId="27" xfId="1" applyFont="1" applyFill="1" applyBorder="1" applyAlignment="1">
      <alignment horizontal="center" vertical="center"/>
    </xf>
    <xf numFmtId="0" fontId="53" fillId="36" borderId="4" xfId="1" applyFont="1" applyFill="1" applyBorder="1" applyAlignment="1">
      <alignment horizontal="left" vertical="center"/>
    </xf>
    <xf numFmtId="3" fontId="53" fillId="34" borderId="193" xfId="1" applyNumberFormat="1" applyFont="1" applyFill="1" applyBorder="1" applyAlignment="1">
      <alignment horizontal="left" vertical="center"/>
    </xf>
    <xf numFmtId="174" fontId="53" fillId="34" borderId="193" xfId="1" applyNumberFormat="1" applyFont="1" applyFill="1" applyBorder="1" applyAlignment="1">
      <alignment horizontal="center" vertical="center"/>
    </xf>
    <xf numFmtId="14" fontId="53" fillId="34" borderId="193" xfId="1" applyNumberFormat="1" applyFont="1" applyFill="1" applyBorder="1" applyAlignment="1">
      <alignment horizontal="center" vertical="center"/>
    </xf>
    <xf numFmtId="2" fontId="53" fillId="35" borderId="21" xfId="1" applyNumberFormat="1" applyFont="1" applyFill="1" applyBorder="1" applyAlignment="1">
      <alignment horizontal="center" vertical="center"/>
    </xf>
    <xf numFmtId="0" fontId="23" fillId="35" borderId="277" xfId="15" applyFont="1" applyFill="1" applyBorder="1" applyAlignment="1">
      <alignment horizontal="left" vertical="center"/>
    </xf>
    <xf numFmtId="3" fontId="53" fillId="35" borderId="275" xfId="1" applyNumberFormat="1" applyFont="1" applyFill="1" applyBorder="1" applyAlignment="1">
      <alignment horizontal="left" vertical="center"/>
    </xf>
    <xf numFmtId="3" fontId="53" fillId="35" borderId="275" xfId="1" applyNumberFormat="1" applyFont="1" applyFill="1" applyBorder="1" applyAlignment="1">
      <alignment horizontal="center" vertical="center"/>
    </xf>
    <xf numFmtId="0" fontId="2" fillId="35" borderId="275" xfId="1" applyFont="1" applyFill="1" applyBorder="1" applyAlignment="1">
      <alignment horizontal="center" vertical="center"/>
    </xf>
    <xf numFmtId="14" fontId="53" fillId="35" borderId="275" xfId="1" applyNumberFormat="1" applyFont="1" applyFill="1" applyBorder="1" applyAlignment="1">
      <alignment horizontal="center" vertical="center"/>
    </xf>
    <xf numFmtId="2" fontId="53" fillId="35" borderId="281" xfId="1" applyNumberFormat="1" applyFont="1" applyFill="1" applyBorder="1" applyAlignment="1">
      <alignment horizontal="center" vertical="center"/>
    </xf>
    <xf numFmtId="0" fontId="115" fillId="35" borderId="4" xfId="1" applyFont="1" applyFill="1" applyBorder="1" applyAlignment="1">
      <alignment horizontal="center" vertical="center"/>
    </xf>
    <xf numFmtId="0" fontId="53" fillId="33" borderId="277" xfId="1" applyFont="1" applyFill="1" applyBorder="1" applyAlignment="1">
      <alignment horizontal="left" vertical="center"/>
    </xf>
    <xf numFmtId="3" fontId="169" fillId="33" borderId="291" xfId="1" applyNumberFormat="1" applyFont="1" applyFill="1" applyBorder="1" applyAlignment="1">
      <alignment horizontal="center" vertical="center"/>
    </xf>
    <xf numFmtId="3" fontId="53" fillId="33" borderId="275" xfId="1" applyNumberFormat="1" applyFont="1" applyFill="1" applyBorder="1" applyAlignment="1">
      <alignment horizontal="left" vertical="center"/>
    </xf>
    <xf numFmtId="3" fontId="53" fillId="33" borderId="275" xfId="1" applyNumberFormat="1" applyFont="1" applyFill="1" applyBorder="1" applyAlignment="1">
      <alignment horizontal="center" vertical="center"/>
    </xf>
    <xf numFmtId="0" fontId="2" fillId="33" borderId="275" xfId="1" applyFont="1" applyFill="1" applyBorder="1" applyAlignment="1">
      <alignment horizontal="center" vertical="center"/>
    </xf>
    <xf numFmtId="174" fontId="53" fillId="33" borderId="275" xfId="1" applyNumberFormat="1" applyFont="1" applyFill="1" applyBorder="1" applyAlignment="1">
      <alignment horizontal="center" vertical="center"/>
    </xf>
    <xf numFmtId="14" fontId="53" fillId="33" borderId="275" xfId="1" applyNumberFormat="1" applyFont="1" applyFill="1" applyBorder="1" applyAlignment="1">
      <alignment horizontal="center" vertical="center"/>
    </xf>
    <xf numFmtId="0" fontId="113" fillId="36" borderId="27" xfId="1" applyFont="1" applyFill="1" applyBorder="1" applyAlignment="1">
      <alignment horizontal="center" vertical="center"/>
    </xf>
    <xf numFmtId="0" fontId="23" fillId="35" borderId="4" xfId="15" applyFont="1" applyFill="1" applyBorder="1" applyAlignment="1">
      <alignment horizontal="left" vertical="center"/>
    </xf>
    <xf numFmtId="0" fontId="115" fillId="35" borderId="19" xfId="1" applyFont="1" applyFill="1" applyBorder="1" applyAlignment="1">
      <alignment horizontal="center"/>
    </xf>
    <xf numFmtId="0" fontId="23" fillId="37" borderId="4" xfId="15" applyFont="1" applyFill="1" applyBorder="1" applyAlignment="1">
      <alignment horizontal="left" vertical="center"/>
    </xf>
    <xf numFmtId="3" fontId="53" fillId="37" borderId="193" xfId="1" applyNumberFormat="1" applyFont="1" applyFill="1" applyBorder="1" applyAlignment="1">
      <alignment horizontal="left" vertical="center"/>
    </xf>
    <xf numFmtId="3" fontId="53" fillId="37" borderId="193" xfId="1" applyNumberFormat="1" applyFont="1" applyFill="1" applyBorder="1" applyAlignment="1">
      <alignment horizontal="center" vertical="center"/>
    </xf>
    <xf numFmtId="0" fontId="2" fillId="37" borderId="193" xfId="1" applyFont="1" applyFill="1" applyBorder="1" applyAlignment="1">
      <alignment horizontal="center" vertical="center"/>
    </xf>
    <xf numFmtId="174" fontId="53" fillId="37" borderId="193" xfId="1" applyNumberFormat="1" applyFont="1" applyFill="1" applyBorder="1" applyAlignment="1">
      <alignment horizontal="center" vertical="center"/>
    </xf>
    <xf numFmtId="14" fontId="53" fillId="37" borderId="193" xfId="1" applyNumberFormat="1" applyFont="1" applyFill="1" applyBorder="1" applyAlignment="1">
      <alignment horizontal="center" vertical="center"/>
    </xf>
    <xf numFmtId="0" fontId="113" fillId="34" borderId="276" xfId="1" applyFont="1" applyFill="1" applyBorder="1" applyAlignment="1">
      <alignment horizontal="center" vertical="center"/>
    </xf>
    <xf numFmtId="3" fontId="169" fillId="34" borderId="275" xfId="1" applyNumberFormat="1" applyFont="1" applyFill="1" applyBorder="1" applyAlignment="1">
      <alignment horizontal="center" vertical="center"/>
    </xf>
    <xf numFmtId="0" fontId="113" fillId="15" borderId="27" xfId="1" applyFont="1" applyFill="1" applyBorder="1" applyAlignment="1">
      <alignment horizontal="center" vertical="center"/>
    </xf>
    <xf numFmtId="3" fontId="169" fillId="15" borderId="193" xfId="1" applyNumberFormat="1" applyFont="1" applyFill="1" applyBorder="1" applyAlignment="1">
      <alignment horizontal="center" vertical="center"/>
    </xf>
    <xf numFmtId="0" fontId="2" fillId="15" borderId="193" xfId="1" applyFont="1" applyFill="1" applyBorder="1" applyAlignment="1">
      <alignment horizontal="center" vertical="center"/>
    </xf>
    <xf numFmtId="14" fontId="53" fillId="15" borderId="193" xfId="1" applyNumberFormat="1" applyFont="1" applyFill="1" applyBorder="1" applyAlignment="1">
      <alignment horizontal="center" vertical="center"/>
    </xf>
    <xf numFmtId="2" fontId="53" fillId="13" borderId="21" xfId="1" applyNumberFormat="1" applyFont="1" applyFill="1" applyBorder="1" applyAlignment="1">
      <alignment horizontal="center" vertical="center"/>
    </xf>
    <xf numFmtId="0" fontId="115" fillId="13" borderId="111" xfId="1" applyFont="1" applyFill="1" applyBorder="1" applyAlignment="1">
      <alignment horizontal="center" vertical="center"/>
    </xf>
    <xf numFmtId="0" fontId="116" fillId="13" borderId="111" xfId="1" applyFont="1" applyFill="1" applyBorder="1" applyAlignment="1">
      <alignment horizontal="center"/>
    </xf>
    <xf numFmtId="0" fontId="115" fillId="16" borderId="111" xfId="1" applyFont="1" applyFill="1" applyBorder="1" applyAlignment="1">
      <alignment horizontal="center"/>
    </xf>
    <xf numFmtId="0" fontId="116" fillId="16" borderId="111" xfId="1" applyFont="1" applyFill="1" applyBorder="1" applyAlignment="1">
      <alignment horizontal="center"/>
    </xf>
    <xf numFmtId="0" fontId="115" fillId="13" borderId="111" xfId="1" applyFont="1" applyFill="1" applyBorder="1" applyAlignment="1">
      <alignment horizontal="center"/>
    </xf>
    <xf numFmtId="3" fontId="125" fillId="16" borderId="73" xfId="1" applyNumberFormat="1" applyFont="1" applyFill="1" applyBorder="1" applyAlignment="1">
      <alignment horizontal="center" vertical="center"/>
    </xf>
    <xf numFmtId="0" fontId="107" fillId="16" borderId="0" xfId="1" applyFont="1" applyFill="1" applyBorder="1" applyAlignment="1">
      <alignment horizontal="left" vertical="center"/>
    </xf>
    <xf numFmtId="0" fontId="115" fillId="13" borderId="280" xfId="1" applyFont="1" applyFill="1" applyBorder="1" applyAlignment="1">
      <alignment horizontal="center" vertical="center"/>
    </xf>
    <xf numFmtId="2" fontId="53" fillId="13" borderId="281" xfId="1" applyNumberFormat="1" applyFont="1" applyFill="1" applyBorder="1" applyAlignment="1">
      <alignment horizontal="center" vertical="center"/>
    </xf>
    <xf numFmtId="0" fontId="162" fillId="16" borderId="27" xfId="1" applyFont="1" applyFill="1" applyBorder="1" applyAlignment="1">
      <alignment horizontal="center" vertical="center"/>
    </xf>
    <xf numFmtId="0" fontId="23" fillId="16" borderId="4" xfId="15" applyFont="1" applyFill="1" applyBorder="1" applyAlignment="1">
      <alignment horizontal="left" vertical="center"/>
    </xf>
    <xf numFmtId="0" fontId="115" fillId="16" borderId="19" xfId="1" applyFont="1" applyFill="1" applyBorder="1" applyAlignment="1">
      <alignment horizontal="center"/>
    </xf>
    <xf numFmtId="3" fontId="43" fillId="16" borderId="4" xfId="1" applyNumberFormat="1" applyFont="1" applyFill="1" applyBorder="1" applyAlignment="1">
      <alignment horizontal="center" vertical="center"/>
    </xf>
    <xf numFmtId="3" fontId="169" fillId="16" borderId="193" xfId="1" applyNumberFormat="1" applyFont="1" applyFill="1" applyBorder="1" applyAlignment="1">
      <alignment horizontal="center" vertical="center"/>
    </xf>
    <xf numFmtId="3" fontId="50" fillId="22" borderId="193" xfId="1" applyNumberFormat="1" applyFont="1" applyFill="1" applyBorder="1" applyAlignment="1">
      <alignment horizontal="center" vertical="center"/>
    </xf>
    <xf numFmtId="3" fontId="53" fillId="16" borderId="193" xfId="1" applyNumberFormat="1" applyFont="1" applyFill="1" applyBorder="1" applyAlignment="1">
      <alignment horizontal="left" vertical="center"/>
    </xf>
    <xf numFmtId="3" fontId="53" fillId="16" borderId="193" xfId="1" applyNumberFormat="1" applyFont="1" applyFill="1" applyBorder="1" applyAlignment="1">
      <alignment horizontal="center" vertical="center"/>
    </xf>
    <xf numFmtId="0" fontId="2" fillId="16" borderId="193" xfId="1" applyFont="1" applyFill="1" applyBorder="1" applyAlignment="1">
      <alignment horizontal="center" vertical="center"/>
    </xf>
    <xf numFmtId="174" fontId="53" fillId="16" borderId="193" xfId="1" applyNumberFormat="1" applyFont="1" applyFill="1" applyBorder="1" applyAlignment="1">
      <alignment horizontal="center" vertical="center"/>
    </xf>
    <xf numFmtId="14" fontId="53" fillId="16" borderId="193" xfId="1" applyNumberFormat="1" applyFont="1" applyFill="1" applyBorder="1" applyAlignment="1">
      <alignment horizontal="center" vertical="center"/>
    </xf>
    <xf numFmtId="0" fontId="113" fillId="16" borderId="276" xfId="1" applyFont="1" applyFill="1" applyBorder="1" applyAlignment="1">
      <alignment horizontal="center" vertical="center"/>
    </xf>
    <xf numFmtId="0" fontId="53" fillId="16" borderId="277" xfId="1" applyFont="1" applyFill="1" applyBorder="1" applyAlignment="1">
      <alignment horizontal="left" vertical="center"/>
    </xf>
    <xf numFmtId="3" fontId="169" fillId="16" borderId="275" xfId="1" applyNumberFormat="1" applyFont="1" applyFill="1" applyBorder="1" applyAlignment="1">
      <alignment horizontal="center" vertical="center"/>
    </xf>
    <xf numFmtId="3" fontId="53" fillId="16" borderId="275" xfId="1" applyNumberFormat="1" applyFont="1" applyFill="1" applyBorder="1" applyAlignment="1">
      <alignment horizontal="left" vertical="center"/>
    </xf>
    <xf numFmtId="3" fontId="53" fillId="16" borderId="275" xfId="1" applyNumberFormat="1" applyFont="1" applyFill="1" applyBorder="1" applyAlignment="1">
      <alignment horizontal="center" vertical="center"/>
    </xf>
    <xf numFmtId="0" fontId="2" fillId="16" borderId="275" xfId="1" applyFont="1" applyFill="1" applyBorder="1" applyAlignment="1">
      <alignment horizontal="center" vertical="center"/>
    </xf>
    <xf numFmtId="174" fontId="53" fillId="16" borderId="275" xfId="1" applyNumberFormat="1" applyFont="1" applyFill="1" applyBorder="1" applyAlignment="1">
      <alignment horizontal="center" vertical="center"/>
    </xf>
    <xf numFmtId="14" fontId="53" fillId="16" borderId="275" xfId="1" applyNumberFormat="1" applyFont="1" applyFill="1" applyBorder="1" applyAlignment="1">
      <alignment horizontal="center" vertical="center"/>
    </xf>
    <xf numFmtId="0" fontId="113" fillId="14" borderId="27" xfId="1" applyFont="1" applyFill="1" applyBorder="1" applyAlignment="1">
      <alignment horizontal="center" vertical="center"/>
    </xf>
    <xf numFmtId="0" fontId="115" fillId="13" borderId="19" xfId="1" applyFont="1" applyFill="1" applyBorder="1" applyAlignment="1">
      <alignment horizontal="center" vertical="center"/>
    </xf>
    <xf numFmtId="0" fontId="162" fillId="16" borderId="276" xfId="1" applyFont="1" applyFill="1" applyBorder="1" applyAlignment="1">
      <alignment horizontal="center" vertical="center"/>
    </xf>
    <xf numFmtId="0" fontId="23" fillId="16" borderId="277" xfId="15" applyFont="1" applyFill="1" applyBorder="1" applyAlignment="1">
      <alignment horizontal="left" vertical="center"/>
    </xf>
    <xf numFmtId="0" fontId="116" fillId="16" borderId="280" xfId="1" applyFont="1" applyFill="1" applyBorder="1" applyAlignment="1">
      <alignment horizontal="center"/>
    </xf>
    <xf numFmtId="0" fontId="23" fillId="13" borderId="4" xfId="15" applyFont="1" applyFill="1" applyBorder="1" applyAlignment="1">
      <alignment horizontal="left" vertical="center"/>
    </xf>
    <xf numFmtId="3" fontId="53" fillId="13" borderId="193" xfId="1" applyNumberFormat="1" applyFont="1" applyFill="1" applyBorder="1" applyAlignment="1">
      <alignment horizontal="left" vertical="center"/>
    </xf>
    <xf numFmtId="3" fontId="53" fillId="13" borderId="193" xfId="1" applyNumberFormat="1" applyFont="1" applyFill="1" applyBorder="1" applyAlignment="1">
      <alignment horizontal="center" vertical="center"/>
    </xf>
    <xf numFmtId="0" fontId="2" fillId="13" borderId="193" xfId="1" applyFont="1" applyFill="1" applyBorder="1" applyAlignment="1">
      <alignment horizontal="center" vertical="center"/>
    </xf>
    <xf numFmtId="174" fontId="53" fillId="13" borderId="193" xfId="1" applyNumberFormat="1" applyFont="1" applyFill="1" applyBorder="1" applyAlignment="1">
      <alignment horizontal="center" vertical="center"/>
    </xf>
    <xf numFmtId="14" fontId="53" fillId="13" borderId="193" xfId="1" applyNumberFormat="1" applyFont="1" applyFill="1" applyBorder="1" applyAlignment="1">
      <alignment horizontal="center" vertical="center"/>
    </xf>
    <xf numFmtId="0" fontId="113" fillId="13" borderId="276" xfId="1" applyFont="1" applyFill="1" applyBorder="1" applyAlignment="1">
      <alignment horizontal="center" vertical="center"/>
    </xf>
    <xf numFmtId="0" fontId="23" fillId="15" borderId="277" xfId="15" applyFont="1" applyFill="1" applyBorder="1" applyAlignment="1">
      <alignment horizontal="left" vertical="center"/>
    </xf>
    <xf numFmtId="3" fontId="50" fillId="13" borderId="275" xfId="1" applyNumberFormat="1" applyFont="1" applyFill="1" applyBorder="1" applyAlignment="1">
      <alignment horizontal="center" vertical="center"/>
    </xf>
    <xf numFmtId="3" fontId="53" fillId="13" borderId="275" xfId="1" applyNumberFormat="1" applyFont="1" applyFill="1" applyBorder="1" applyAlignment="1">
      <alignment horizontal="left" vertical="center"/>
    </xf>
    <xf numFmtId="3" fontId="53" fillId="13" borderId="275" xfId="1" applyNumberFormat="1" applyFont="1" applyFill="1" applyBorder="1" applyAlignment="1">
      <alignment horizontal="center" vertical="center"/>
    </xf>
    <xf numFmtId="0" fontId="108" fillId="13" borderId="275" xfId="1" applyFont="1" applyFill="1" applyBorder="1" applyAlignment="1">
      <alignment horizontal="center" vertical="center"/>
    </xf>
    <xf numFmtId="174" fontId="2" fillId="13" borderId="275" xfId="1" applyNumberFormat="1" applyFont="1" applyFill="1" applyBorder="1" applyAlignment="1">
      <alignment horizontal="center" vertical="center"/>
    </xf>
    <xf numFmtId="14" fontId="53" fillId="13" borderId="275" xfId="1" applyNumberFormat="1" applyFont="1" applyFill="1" applyBorder="1" applyAlignment="1">
      <alignment horizontal="center" vertical="center"/>
    </xf>
    <xf numFmtId="3" fontId="50" fillId="12" borderId="193" xfId="1" applyNumberFormat="1" applyFont="1" applyFill="1" applyBorder="1" applyAlignment="1">
      <alignment horizontal="center" vertical="center"/>
    </xf>
    <xf numFmtId="0" fontId="108" fillId="13" borderId="193" xfId="1" applyFont="1" applyFill="1" applyBorder="1" applyAlignment="1">
      <alignment horizontal="center" vertical="center"/>
    </xf>
    <xf numFmtId="0" fontId="23" fillId="14" borderId="277" xfId="15" applyFont="1" applyFill="1" applyBorder="1" applyAlignment="1">
      <alignment horizontal="left" vertical="center"/>
    </xf>
    <xf numFmtId="0" fontId="115" fillId="13" borderId="280" xfId="1" applyFont="1" applyFill="1" applyBorder="1" applyAlignment="1">
      <alignment horizontal="center"/>
    </xf>
    <xf numFmtId="3" fontId="169" fillId="13" borderId="275" xfId="1" applyNumberFormat="1" applyFont="1" applyFill="1" applyBorder="1" applyAlignment="1">
      <alignment horizontal="center" vertical="center"/>
    </xf>
    <xf numFmtId="0" fontId="2" fillId="13" borderId="275" xfId="1" applyFont="1" applyFill="1" applyBorder="1" applyAlignment="1">
      <alignment horizontal="center" vertical="center"/>
    </xf>
    <xf numFmtId="174" fontId="53" fillId="13" borderId="275" xfId="1" applyNumberFormat="1" applyFont="1" applyFill="1" applyBorder="1" applyAlignment="1">
      <alignment horizontal="center" vertical="center"/>
    </xf>
    <xf numFmtId="14" fontId="53" fillId="13" borderId="275" xfId="1" quotePrefix="1" applyNumberFormat="1" applyFont="1" applyFill="1" applyBorder="1" applyAlignment="1">
      <alignment horizontal="center" vertical="center"/>
    </xf>
    <xf numFmtId="0" fontId="113" fillId="16" borderId="27" xfId="1" applyFont="1" applyFill="1" applyBorder="1" applyAlignment="1">
      <alignment horizontal="center" vertical="center"/>
    </xf>
    <xf numFmtId="174" fontId="2" fillId="16" borderId="193" xfId="1" applyNumberFormat="1" applyFont="1" applyFill="1" applyBorder="1" applyAlignment="1">
      <alignment horizontal="center" vertical="center"/>
    </xf>
    <xf numFmtId="0" fontId="115" fillId="16" borderId="280" xfId="1" applyFont="1" applyFill="1" applyBorder="1" applyAlignment="1">
      <alignment horizontal="center"/>
    </xf>
    <xf numFmtId="3" fontId="125" fillId="16" borderId="275" xfId="1" applyNumberFormat="1" applyFont="1" applyFill="1" applyBorder="1" applyAlignment="1">
      <alignment horizontal="center" vertical="center"/>
    </xf>
    <xf numFmtId="0" fontId="113" fillId="13" borderId="27" xfId="1" applyFont="1" applyFill="1" applyBorder="1" applyAlignment="1">
      <alignment horizontal="center" vertical="center"/>
    </xf>
    <xf numFmtId="3" fontId="43" fillId="13" borderId="4" xfId="1" applyNumberFormat="1" applyFont="1" applyFill="1" applyBorder="1" applyAlignment="1">
      <alignment horizontal="center" vertical="center"/>
    </xf>
    <xf numFmtId="3" fontId="169" fillId="13" borderId="193" xfId="1" applyNumberFormat="1" applyFont="1" applyFill="1" applyBorder="1" applyAlignment="1">
      <alignment horizontal="center" vertical="center"/>
    </xf>
    <xf numFmtId="0" fontId="53" fillId="16" borderId="4" xfId="1" applyFont="1" applyFill="1" applyBorder="1" applyAlignment="1">
      <alignment horizontal="left" vertical="center"/>
    </xf>
    <xf numFmtId="3" fontId="50" fillId="16" borderId="275" xfId="1" applyNumberFormat="1" applyFont="1" applyFill="1" applyBorder="1" applyAlignment="1">
      <alignment horizontal="center" vertical="center"/>
    </xf>
    <xf numFmtId="0" fontId="127" fillId="16" borderId="4" xfId="15" applyFont="1" applyFill="1" applyBorder="1" applyAlignment="1">
      <alignment horizontal="left" vertical="center"/>
    </xf>
    <xf numFmtId="0" fontId="116" fillId="16" borderId="19" xfId="1" applyFont="1" applyFill="1" applyBorder="1" applyAlignment="1">
      <alignment horizontal="center"/>
    </xf>
    <xf numFmtId="0" fontId="162" fillId="20" borderId="17" xfId="1" applyFont="1" applyFill="1" applyBorder="1" applyAlignment="1">
      <alignment horizontal="center" vertical="center"/>
    </xf>
    <xf numFmtId="0" fontId="23" fillId="20" borderId="0" xfId="15" applyFont="1" applyFill="1" applyBorder="1" applyAlignment="1">
      <alignment horizontal="left" vertical="center"/>
    </xf>
    <xf numFmtId="3" fontId="50" fillId="20" borderId="73" xfId="1" applyNumberFormat="1" applyFont="1" applyFill="1" applyBorder="1" applyAlignment="1">
      <alignment horizontal="center" vertical="center"/>
    </xf>
    <xf numFmtId="3" fontId="53" fillId="20" borderId="73" xfId="1" applyNumberFormat="1" applyFont="1" applyFill="1" applyBorder="1" applyAlignment="1">
      <alignment horizontal="left" vertical="center"/>
    </xf>
    <xf numFmtId="3" fontId="108" fillId="20" borderId="73" xfId="1" applyNumberFormat="1" applyFont="1" applyFill="1" applyBorder="1" applyAlignment="1">
      <alignment horizontal="center" vertical="center"/>
    </xf>
    <xf numFmtId="0" fontId="108" fillId="20" borderId="73" xfId="1" applyFont="1" applyFill="1" applyBorder="1" applyAlignment="1">
      <alignment horizontal="center" vertical="center"/>
    </xf>
    <xf numFmtId="174" fontId="53" fillId="20" borderId="73" xfId="1" applyNumberFormat="1" applyFont="1" applyFill="1" applyBorder="1" applyAlignment="1">
      <alignment horizontal="center" vertical="center"/>
    </xf>
    <xf numFmtId="14" fontId="53" fillId="20" borderId="73" xfId="1" applyNumberFormat="1" applyFont="1" applyFill="1" applyBorder="1" applyAlignment="1">
      <alignment horizontal="center" vertical="center"/>
    </xf>
    <xf numFmtId="0" fontId="115" fillId="19" borderId="111" xfId="1" applyFont="1" applyFill="1" applyBorder="1" applyAlignment="1">
      <alignment horizontal="center"/>
    </xf>
    <xf numFmtId="0" fontId="116" fillId="22" borderId="111" xfId="1" applyFont="1" applyFill="1" applyBorder="1" applyAlignment="1">
      <alignment horizontal="center"/>
    </xf>
    <xf numFmtId="0" fontId="116" fillId="19" borderId="111" xfId="1" applyFont="1" applyFill="1" applyBorder="1" applyAlignment="1">
      <alignment horizontal="center"/>
    </xf>
    <xf numFmtId="0" fontId="113" fillId="22" borderId="27" xfId="1" applyFont="1" applyFill="1" applyBorder="1" applyAlignment="1">
      <alignment horizontal="center" vertical="center"/>
    </xf>
    <xf numFmtId="3" fontId="53" fillId="22" borderId="193" xfId="1" applyNumberFormat="1" applyFont="1" applyFill="1" applyBorder="1" applyAlignment="1">
      <alignment horizontal="left" vertical="center"/>
    </xf>
    <xf numFmtId="3" fontId="2" fillId="22" borderId="193" xfId="1" applyNumberFormat="1" applyFont="1" applyFill="1" applyBorder="1" applyAlignment="1">
      <alignment horizontal="center" vertical="center"/>
    </xf>
    <xf numFmtId="0" fontId="2" fillId="22" borderId="193" xfId="1" applyFont="1" applyFill="1" applyBorder="1" applyAlignment="1">
      <alignment horizontal="center" vertical="center"/>
    </xf>
    <xf numFmtId="174" fontId="53" fillId="22" borderId="193" xfId="1" applyNumberFormat="1" applyFont="1" applyFill="1" applyBorder="1" applyAlignment="1">
      <alignment horizontal="center" vertical="center"/>
    </xf>
    <xf numFmtId="14" fontId="53" fillId="22" borderId="193" xfId="1" applyNumberFormat="1" applyFont="1" applyFill="1" applyBorder="1" applyAlignment="1">
      <alignment horizontal="center" vertical="center"/>
    </xf>
    <xf numFmtId="2" fontId="53" fillId="22" borderId="21" xfId="1" applyNumberFormat="1" applyFont="1" applyFill="1" applyBorder="1" applyAlignment="1">
      <alignment horizontal="center" vertical="center"/>
    </xf>
    <xf numFmtId="0" fontId="113" fillId="19" borderId="276" xfId="1" applyFont="1" applyFill="1" applyBorder="1" applyAlignment="1">
      <alignment horizontal="center" vertical="center"/>
    </xf>
    <xf numFmtId="0" fontId="127" fillId="19" borderId="277" xfId="15" applyFont="1" applyFill="1" applyBorder="1" applyAlignment="1">
      <alignment horizontal="left" vertical="center"/>
    </xf>
    <xf numFmtId="0" fontId="115" fillId="19" borderId="280" xfId="1" applyFont="1" applyFill="1" applyBorder="1" applyAlignment="1">
      <alignment horizontal="center"/>
    </xf>
    <xf numFmtId="3" fontId="169" fillId="19" borderId="275" xfId="1" applyNumberFormat="1" applyFont="1" applyFill="1" applyBorder="1" applyAlignment="1">
      <alignment horizontal="center" vertical="center"/>
    </xf>
    <xf numFmtId="3" fontId="53" fillId="19" borderId="275" xfId="1" applyNumberFormat="1" applyFont="1" applyFill="1" applyBorder="1" applyAlignment="1">
      <alignment horizontal="left" vertical="center"/>
    </xf>
    <xf numFmtId="3" fontId="53" fillId="19" borderId="275" xfId="1" applyNumberFormat="1" applyFont="1" applyFill="1" applyBorder="1" applyAlignment="1">
      <alignment horizontal="center" vertical="center"/>
    </xf>
    <xf numFmtId="0" fontId="2" fillId="19" borderId="275" xfId="1" applyFont="1" applyFill="1" applyBorder="1" applyAlignment="1">
      <alignment horizontal="center" vertical="center"/>
    </xf>
    <xf numFmtId="174" fontId="53" fillId="19" borderId="275" xfId="1" applyNumberFormat="1" applyFont="1" applyFill="1" applyBorder="1" applyAlignment="1">
      <alignment horizontal="center" vertical="center"/>
    </xf>
    <xf numFmtId="14" fontId="53" fillId="19" borderId="275" xfId="1" quotePrefix="1" applyNumberFormat="1" applyFont="1" applyFill="1" applyBorder="1" applyAlignment="1">
      <alignment horizontal="center" vertical="center"/>
    </xf>
    <xf numFmtId="14" fontId="53" fillId="19" borderId="275" xfId="1" applyNumberFormat="1" applyFont="1" applyFill="1" applyBorder="1" applyAlignment="1">
      <alignment horizontal="center" vertical="center"/>
    </xf>
    <xf numFmtId="2" fontId="53" fillId="22" borderId="281" xfId="1" applyNumberFormat="1" applyFont="1" applyFill="1" applyBorder="1" applyAlignment="1">
      <alignment horizontal="center" vertical="center"/>
    </xf>
    <xf numFmtId="0" fontId="23" fillId="19" borderId="4" xfId="15" applyFont="1" applyFill="1" applyBorder="1" applyAlignment="1">
      <alignment horizontal="left" vertical="center"/>
    </xf>
    <xf numFmtId="0" fontId="116" fillId="19" borderId="19" xfId="1" applyFont="1" applyFill="1" applyBorder="1" applyAlignment="1">
      <alignment horizontal="center"/>
    </xf>
    <xf numFmtId="3" fontId="169" fillId="19" borderId="193" xfId="1" applyNumberFormat="1" applyFont="1" applyFill="1" applyBorder="1" applyAlignment="1">
      <alignment horizontal="center" vertical="center"/>
    </xf>
    <xf numFmtId="3" fontId="53" fillId="19" borderId="193" xfId="1" applyNumberFormat="1" applyFont="1" applyFill="1" applyBorder="1" applyAlignment="1">
      <alignment horizontal="left" vertical="center"/>
    </xf>
    <xf numFmtId="174" fontId="2" fillId="19" borderId="193" xfId="1" applyNumberFormat="1" applyFont="1" applyFill="1" applyBorder="1" applyAlignment="1">
      <alignment horizontal="center" vertical="center"/>
    </xf>
    <xf numFmtId="14" fontId="53" fillId="19" borderId="193" xfId="1" applyNumberFormat="1" applyFont="1" applyFill="1" applyBorder="1" applyAlignment="1">
      <alignment horizontal="center" vertical="center"/>
    </xf>
    <xf numFmtId="0" fontId="115" fillId="22" borderId="271" xfId="1" applyFont="1" applyFill="1" applyBorder="1" applyAlignment="1">
      <alignment horizontal="center" vertical="center"/>
    </xf>
    <xf numFmtId="0" fontId="113" fillId="25" borderId="17" xfId="1" applyFont="1" applyFill="1" applyBorder="1" applyAlignment="1">
      <alignment horizontal="center" vertical="center"/>
    </xf>
    <xf numFmtId="3" fontId="169" fillId="42" borderId="73" xfId="1" applyNumberFormat="1" applyFont="1" applyFill="1" applyBorder="1" applyAlignment="1">
      <alignment horizontal="center" vertical="center"/>
    </xf>
    <xf numFmtId="0" fontId="114" fillId="22" borderId="111" xfId="1" applyFont="1" applyFill="1" applyBorder="1" applyAlignment="1">
      <alignment horizontal="center"/>
    </xf>
    <xf numFmtId="3" fontId="50" fillId="22" borderId="258" xfId="1" applyNumberFormat="1" applyFont="1" applyFill="1" applyBorder="1" applyAlignment="1">
      <alignment horizontal="center" vertical="center"/>
    </xf>
    <xf numFmtId="0" fontId="142" fillId="50" borderId="0" xfId="1" applyFont="1" applyFill="1" applyBorder="1" applyAlignment="1">
      <alignment horizontal="left" vertical="center"/>
    </xf>
    <xf numFmtId="0" fontId="162" fillId="22" borderId="17" xfId="1" applyFont="1" applyFill="1" applyBorder="1" applyAlignment="1">
      <alignment horizontal="center" vertical="center"/>
    </xf>
    <xf numFmtId="3" fontId="2" fillId="28" borderId="258" xfId="1" applyNumberFormat="1" applyFont="1" applyFill="1" applyBorder="1" applyAlignment="1">
      <alignment horizontal="center" vertical="center"/>
    </xf>
    <xf numFmtId="0" fontId="116" fillId="29" borderId="111" xfId="1" applyFont="1" applyFill="1" applyBorder="1" applyAlignment="1">
      <alignment horizontal="center"/>
    </xf>
    <xf numFmtId="3" fontId="2" fillId="29" borderId="111" xfId="1" applyNumberFormat="1" applyFont="1" applyFill="1" applyBorder="1" applyAlignment="1">
      <alignment horizontal="center" vertical="center"/>
    </xf>
    <xf numFmtId="3" fontId="2" fillId="29" borderId="258" xfId="1" applyNumberFormat="1" applyFont="1" applyFill="1" applyBorder="1" applyAlignment="1">
      <alignment horizontal="center" vertical="center"/>
    </xf>
    <xf numFmtId="0" fontId="116" fillId="28" borderId="111" xfId="1" applyFont="1" applyFill="1" applyBorder="1" applyAlignment="1">
      <alignment horizontal="center"/>
    </xf>
    <xf numFmtId="3" fontId="53" fillId="28" borderId="111" xfId="1" applyNumberFormat="1" applyFont="1" applyFill="1" applyBorder="1" applyAlignment="1">
      <alignment horizontal="center" vertical="center"/>
    </xf>
    <xf numFmtId="0" fontId="115" fillId="29" borderId="111" xfId="1" applyFont="1" applyFill="1" applyBorder="1" applyAlignment="1">
      <alignment horizontal="center"/>
    </xf>
    <xf numFmtId="0" fontId="2" fillId="28" borderId="111" xfId="1" applyFont="1" applyFill="1" applyBorder="1" applyAlignment="1">
      <alignment horizontal="center" vertical="center"/>
    </xf>
    <xf numFmtId="0" fontId="53" fillId="29" borderId="111" xfId="1" applyFont="1" applyFill="1" applyBorder="1" applyAlignment="1">
      <alignment horizontal="center"/>
    </xf>
    <xf numFmtId="0" fontId="116" fillId="27" borderId="111" xfId="1" applyFont="1" applyFill="1" applyBorder="1" applyAlignment="1">
      <alignment horizontal="center"/>
    </xf>
    <xf numFmtId="3" fontId="2" fillId="27" borderId="73" xfId="1" applyNumberFormat="1" applyFont="1" applyFill="1" applyBorder="1" applyAlignment="1">
      <alignment horizontal="center" vertical="center"/>
    </xf>
    <xf numFmtId="3" fontId="2" fillId="27" borderId="73" xfId="1" applyNumberFormat="1" applyFont="1" applyFill="1" applyBorder="1" applyAlignment="1">
      <alignment horizontal="left" vertical="center"/>
    </xf>
    <xf numFmtId="174" fontId="2" fillId="27" borderId="73" xfId="1" applyNumberFormat="1" applyFont="1" applyFill="1" applyBorder="1" applyAlignment="1">
      <alignment horizontal="center" vertical="center"/>
    </xf>
    <xf numFmtId="14" fontId="2" fillId="27" borderId="73" xfId="1" applyNumberFormat="1" applyFont="1" applyFill="1" applyBorder="1" applyAlignment="1">
      <alignment horizontal="center" vertical="center"/>
    </xf>
    <xf numFmtId="0" fontId="115" fillId="27" borderId="111" xfId="1" applyFont="1" applyFill="1" applyBorder="1" applyAlignment="1">
      <alignment horizontal="center"/>
    </xf>
    <xf numFmtId="3" fontId="53" fillId="28" borderId="258" xfId="1" applyNumberFormat="1" applyFont="1" applyFill="1" applyBorder="1" applyAlignment="1">
      <alignment horizontal="center" vertical="center"/>
    </xf>
    <xf numFmtId="3" fontId="2" fillId="28" borderId="0" xfId="1" applyNumberFormat="1" applyFont="1" applyFill="1" applyBorder="1" applyAlignment="1">
      <alignment horizontal="center" vertical="center"/>
    </xf>
    <xf numFmtId="0" fontId="115" fillId="28" borderId="111" xfId="1" applyFont="1" applyFill="1" applyBorder="1" applyAlignment="1">
      <alignment horizontal="center"/>
    </xf>
    <xf numFmtId="3" fontId="107" fillId="28" borderId="73" xfId="1" applyNumberFormat="1" applyFont="1" applyFill="1" applyBorder="1" applyAlignment="1">
      <alignment horizontal="right" vertical="center"/>
    </xf>
    <xf numFmtId="0" fontId="113" fillId="28" borderId="73" xfId="1" applyFont="1" applyFill="1" applyBorder="1" applyAlignment="1">
      <alignment horizontal="center" vertical="center"/>
    </xf>
    <xf numFmtId="0" fontId="162" fillId="3" borderId="276" xfId="1" applyFont="1" applyFill="1" applyBorder="1" applyAlignment="1">
      <alignment horizontal="center" vertical="center"/>
    </xf>
    <xf numFmtId="0" fontId="23" fillId="3" borderId="277" xfId="15" applyFont="1" applyFill="1" applyBorder="1" applyAlignment="1">
      <alignment horizontal="left" vertical="center"/>
    </xf>
    <xf numFmtId="0" fontId="115" fillId="22" borderId="280" xfId="1" applyFont="1" applyFill="1" applyBorder="1" applyAlignment="1">
      <alignment horizontal="center" vertical="center"/>
    </xf>
    <xf numFmtId="0" fontId="113" fillId="23" borderId="27" xfId="1" applyFont="1" applyFill="1" applyBorder="1" applyAlignment="1">
      <alignment horizontal="center" vertical="center"/>
    </xf>
    <xf numFmtId="0" fontId="23" fillId="22" borderId="4" xfId="15" applyFont="1" applyFill="1" applyBorder="1" applyAlignment="1">
      <alignment horizontal="left" vertical="center"/>
    </xf>
    <xf numFmtId="0" fontId="115" fillId="22" borderId="19" xfId="1" applyFont="1" applyFill="1" applyBorder="1" applyAlignment="1">
      <alignment horizontal="center"/>
    </xf>
    <xf numFmtId="3" fontId="169" fillId="23" borderId="193" xfId="1" applyNumberFormat="1" applyFont="1" applyFill="1" applyBorder="1" applyAlignment="1">
      <alignment horizontal="center" vertical="center"/>
    </xf>
    <xf numFmtId="3" fontId="53" fillId="22" borderId="193" xfId="1" applyNumberFormat="1" applyFont="1" applyFill="1" applyBorder="1" applyAlignment="1">
      <alignment horizontal="center" vertical="center"/>
    </xf>
    <xf numFmtId="0" fontId="113" fillId="24" borderId="276" xfId="1" applyFont="1" applyFill="1" applyBorder="1" applyAlignment="1">
      <alignment horizontal="center" vertical="center"/>
    </xf>
    <xf numFmtId="0" fontId="115" fillId="22" borderId="280" xfId="1" applyFont="1" applyFill="1" applyBorder="1" applyAlignment="1">
      <alignment horizontal="center"/>
    </xf>
    <xf numFmtId="3" fontId="169" fillId="22" borderId="275" xfId="1" applyNumberFormat="1" applyFont="1" applyFill="1" applyBorder="1" applyAlignment="1">
      <alignment horizontal="center" vertical="center"/>
    </xf>
    <xf numFmtId="3" fontId="53" fillId="22" borderId="275" xfId="1" applyNumberFormat="1" applyFont="1" applyFill="1" applyBorder="1" applyAlignment="1">
      <alignment horizontal="left" vertical="center"/>
    </xf>
    <xf numFmtId="3" fontId="53" fillId="22" borderId="275" xfId="1" applyNumberFormat="1" applyFont="1" applyFill="1" applyBorder="1" applyAlignment="1">
      <alignment horizontal="center" vertical="center"/>
    </xf>
    <xf numFmtId="0" fontId="2" fillId="22" borderId="275" xfId="1" applyFont="1" applyFill="1" applyBorder="1" applyAlignment="1">
      <alignment horizontal="center" vertical="center"/>
    </xf>
    <xf numFmtId="174" fontId="53" fillId="22" borderId="275" xfId="1" applyNumberFormat="1" applyFont="1" applyFill="1" applyBorder="1" applyAlignment="1">
      <alignment horizontal="center" vertical="center"/>
    </xf>
    <xf numFmtId="14" fontId="53" fillId="22" borderId="275" xfId="1" applyNumberFormat="1" applyFont="1" applyFill="1" applyBorder="1" applyAlignment="1">
      <alignment horizontal="center" vertical="center"/>
    </xf>
    <xf numFmtId="0" fontId="113" fillId="24" borderId="27" xfId="1" applyFont="1" applyFill="1" applyBorder="1" applyAlignment="1">
      <alignment horizontal="center" vertical="center"/>
    </xf>
    <xf numFmtId="3" fontId="74" fillId="22" borderId="193" xfId="1" applyNumberFormat="1" applyFont="1" applyFill="1" applyBorder="1" applyAlignment="1">
      <alignment horizontal="center" vertical="center"/>
    </xf>
    <xf numFmtId="0" fontId="113" fillId="22" borderId="276" xfId="1" applyFont="1" applyFill="1" applyBorder="1" applyAlignment="1">
      <alignment horizontal="center" vertical="center"/>
    </xf>
    <xf numFmtId="3" fontId="53" fillId="19" borderId="193" xfId="1" applyNumberFormat="1" applyFont="1" applyFill="1" applyBorder="1" applyAlignment="1">
      <alignment horizontal="center" vertical="center"/>
    </xf>
    <xf numFmtId="0" fontId="2" fillId="19" borderId="193" xfId="1" applyFont="1" applyFill="1" applyBorder="1" applyAlignment="1">
      <alignment horizontal="center" vertical="center"/>
    </xf>
    <xf numFmtId="174" fontId="53" fillId="19" borderId="193" xfId="1" applyNumberFormat="1" applyFont="1" applyFill="1" applyBorder="1" applyAlignment="1">
      <alignment horizontal="center" vertical="center"/>
    </xf>
    <xf numFmtId="0" fontId="115" fillId="22" borderId="293" xfId="1" applyFont="1" applyFill="1" applyBorder="1" applyAlignment="1">
      <alignment horizontal="center" vertical="center"/>
    </xf>
    <xf numFmtId="0" fontId="23" fillId="38" borderId="4" xfId="15" applyFont="1" applyFill="1" applyBorder="1" applyAlignment="1">
      <alignment horizontal="left" vertical="center"/>
    </xf>
    <xf numFmtId="3" fontId="50" fillId="22" borderId="275" xfId="1" applyNumberFormat="1" applyFont="1" applyFill="1" applyBorder="1" applyAlignment="1">
      <alignment horizontal="center" vertical="center"/>
    </xf>
    <xf numFmtId="3" fontId="2" fillId="22" borderId="275" xfId="1" applyNumberFormat="1" applyFont="1" applyFill="1" applyBorder="1" applyAlignment="1">
      <alignment horizontal="center" vertical="center"/>
    </xf>
    <xf numFmtId="0" fontId="113" fillId="3" borderId="276" xfId="1" applyFont="1" applyFill="1" applyBorder="1" applyAlignment="1">
      <alignment horizontal="center" vertical="center"/>
    </xf>
    <xf numFmtId="174" fontId="105" fillId="19" borderId="275" xfId="1" applyNumberFormat="1" applyFont="1" applyFill="1" applyBorder="1" applyAlignment="1">
      <alignment horizontal="center" vertical="center"/>
    </xf>
    <xf numFmtId="3" fontId="169" fillId="22" borderId="193" xfId="1" applyNumberFormat="1" applyFont="1" applyFill="1" applyBorder="1" applyAlignment="1">
      <alignment horizontal="center" vertical="center"/>
    </xf>
    <xf numFmtId="3" fontId="108" fillId="22" borderId="275" xfId="1" applyNumberFormat="1" applyFont="1" applyFill="1" applyBorder="1" applyAlignment="1">
      <alignment horizontal="center" vertical="center"/>
    </xf>
    <xf numFmtId="0" fontId="107" fillId="25" borderId="4" xfId="1" applyFont="1" applyFill="1" applyBorder="1" applyAlignment="1">
      <alignment horizontal="left" vertical="center"/>
    </xf>
    <xf numFmtId="3" fontId="169" fillId="49" borderId="193" xfId="1" applyNumberFormat="1" applyFont="1" applyFill="1" applyBorder="1" applyAlignment="1">
      <alignment horizontal="center" vertical="center"/>
    </xf>
    <xf numFmtId="3" fontId="53" fillId="49" borderId="193" xfId="1" applyNumberFormat="1" applyFont="1" applyFill="1" applyBorder="1" applyAlignment="1">
      <alignment horizontal="left" vertical="center"/>
    </xf>
    <xf numFmtId="3" fontId="53" fillId="49" borderId="193" xfId="1" applyNumberFormat="1" applyFont="1" applyFill="1" applyBorder="1" applyAlignment="1">
      <alignment horizontal="center" vertical="center"/>
    </xf>
    <xf numFmtId="0" fontId="2" fillId="49" borderId="193" xfId="1" applyFont="1" applyFill="1" applyBorder="1" applyAlignment="1">
      <alignment horizontal="center" vertical="center"/>
    </xf>
    <xf numFmtId="174" fontId="53" fillId="49" borderId="193" xfId="1" applyNumberFormat="1" applyFont="1" applyFill="1" applyBorder="1" applyAlignment="1">
      <alignment horizontal="center" vertical="center"/>
    </xf>
    <xf numFmtId="14" fontId="53" fillId="49" borderId="193" xfId="1" applyNumberFormat="1" applyFont="1" applyFill="1" applyBorder="1" applyAlignment="1">
      <alignment horizontal="center" vertical="center"/>
    </xf>
    <xf numFmtId="0" fontId="127" fillId="19" borderId="4" xfId="15" applyFont="1" applyFill="1" applyBorder="1" applyAlignment="1">
      <alignment horizontal="left" vertical="center"/>
    </xf>
    <xf numFmtId="3" fontId="74" fillId="22" borderId="275" xfId="1" applyNumberFormat="1" applyFont="1" applyFill="1" applyBorder="1" applyAlignment="1">
      <alignment horizontal="center" vertical="center"/>
    </xf>
    <xf numFmtId="3" fontId="50" fillId="22" borderId="55" xfId="1" applyNumberFormat="1" applyFont="1" applyFill="1" applyBorder="1" applyAlignment="1">
      <alignment horizontal="center" vertical="center"/>
    </xf>
    <xf numFmtId="3" fontId="74" fillId="22" borderId="280" xfId="1" applyNumberFormat="1" applyFont="1" applyFill="1" applyBorder="1" applyAlignment="1">
      <alignment horizontal="center" vertical="center"/>
    </xf>
    <xf numFmtId="3" fontId="50" fillId="22" borderId="290" xfId="1" applyNumberFormat="1" applyFont="1" applyFill="1" applyBorder="1" applyAlignment="1">
      <alignment horizontal="center" vertical="center"/>
    </xf>
    <xf numFmtId="0" fontId="162" fillId="22" borderId="27" xfId="1" applyFont="1" applyFill="1" applyBorder="1" applyAlignment="1">
      <alignment horizontal="center" vertical="center"/>
    </xf>
    <xf numFmtId="3" fontId="53" fillId="21" borderId="193" xfId="1" applyNumberFormat="1" applyFont="1" applyFill="1" applyBorder="1" applyAlignment="1">
      <alignment horizontal="left" vertical="center"/>
    </xf>
    <xf numFmtId="3" fontId="108" fillId="21" borderId="193" xfId="1" applyNumberFormat="1" applyFont="1" applyFill="1" applyBorder="1" applyAlignment="1">
      <alignment horizontal="center" vertical="center"/>
    </xf>
    <xf numFmtId="0" fontId="2" fillId="21" borderId="193" xfId="1" applyFont="1" applyFill="1" applyBorder="1" applyAlignment="1">
      <alignment horizontal="center" vertical="center"/>
    </xf>
    <xf numFmtId="174" fontId="53" fillId="21" borderId="193" xfId="1" applyNumberFormat="1" applyFont="1" applyFill="1" applyBorder="1" applyAlignment="1">
      <alignment horizontal="center" vertical="center"/>
    </xf>
    <xf numFmtId="14" fontId="53" fillId="21" borderId="193" xfId="1" applyNumberFormat="1" applyFont="1" applyFill="1" applyBorder="1" applyAlignment="1">
      <alignment horizontal="center" vertical="center"/>
    </xf>
    <xf numFmtId="0" fontId="142" fillId="50" borderId="277" xfId="1" applyFont="1" applyFill="1" applyBorder="1" applyAlignment="1">
      <alignment horizontal="left" vertical="center"/>
    </xf>
    <xf numFmtId="3" fontId="50" fillId="24" borderId="290" xfId="1" applyNumberFormat="1" applyFont="1" applyFill="1" applyBorder="1" applyAlignment="1">
      <alignment horizontal="center" vertical="center"/>
    </xf>
    <xf numFmtId="0" fontId="162" fillId="28" borderId="27" xfId="1" applyFont="1" applyFill="1" applyBorder="1" applyAlignment="1">
      <alignment horizontal="center" vertical="center"/>
    </xf>
    <xf numFmtId="0" fontId="115" fillId="28" borderId="19" xfId="1" applyFont="1" applyFill="1" applyBorder="1" applyAlignment="1">
      <alignment horizontal="center" vertical="center"/>
    </xf>
    <xf numFmtId="3" fontId="2" fillId="28" borderId="193" xfId="1" applyNumberFormat="1" applyFont="1" applyFill="1" applyBorder="1" applyAlignment="1">
      <alignment horizontal="center" vertical="center"/>
    </xf>
    <xf numFmtId="3" fontId="2" fillId="28" borderId="19" xfId="1" applyNumberFormat="1" applyFont="1" applyFill="1" applyBorder="1" applyAlignment="1">
      <alignment horizontal="center" vertical="center"/>
    </xf>
    <xf numFmtId="3" fontId="2" fillId="28" borderId="55" xfId="1" applyNumberFormat="1" applyFont="1" applyFill="1" applyBorder="1" applyAlignment="1">
      <alignment horizontal="center" vertical="center"/>
    </xf>
    <xf numFmtId="3" fontId="53" fillId="28" borderId="193" xfId="1" applyNumberFormat="1" applyFont="1" applyFill="1" applyBorder="1" applyAlignment="1">
      <alignment horizontal="left" vertical="center"/>
    </xf>
    <xf numFmtId="0" fontId="2" fillId="28" borderId="193" xfId="1" applyFont="1" applyFill="1" applyBorder="1" applyAlignment="1">
      <alignment horizontal="center" vertical="center"/>
    </xf>
    <xf numFmtId="174" fontId="53" fillId="28" borderId="193" xfId="1" applyNumberFormat="1" applyFont="1" applyFill="1" applyBorder="1" applyAlignment="1">
      <alignment horizontal="center" vertical="center"/>
    </xf>
    <xf numFmtId="14" fontId="53" fillId="28" borderId="193" xfId="1" quotePrefix="1" applyNumberFormat="1" applyFont="1" applyFill="1" applyBorder="1" applyAlignment="1">
      <alignment horizontal="center" vertical="center"/>
    </xf>
    <xf numFmtId="2" fontId="53" fillId="28" borderId="21" xfId="1" applyNumberFormat="1" applyFont="1" applyFill="1" applyBorder="1" applyAlignment="1">
      <alignment horizontal="center" vertical="center"/>
    </xf>
    <xf numFmtId="0" fontId="162" fillId="29" borderId="276" xfId="1" applyFont="1" applyFill="1" applyBorder="1" applyAlignment="1">
      <alignment horizontal="center" vertical="center"/>
    </xf>
    <xf numFmtId="0" fontId="53" fillId="29" borderId="277" xfId="1" applyFont="1" applyFill="1" applyBorder="1" applyAlignment="1">
      <alignment horizontal="left" vertical="center"/>
    </xf>
    <xf numFmtId="0" fontId="115" fillId="29" borderId="280" xfId="1" applyFont="1" applyFill="1" applyBorder="1" applyAlignment="1">
      <alignment horizontal="center"/>
    </xf>
    <xf numFmtId="3" fontId="2" fillId="29" borderId="275" xfId="1" applyNumberFormat="1" applyFont="1" applyFill="1" applyBorder="1" applyAlignment="1">
      <alignment horizontal="right" vertical="center"/>
    </xf>
    <xf numFmtId="3" fontId="2" fillId="29" borderId="280" xfId="1" applyNumberFormat="1" applyFont="1" applyFill="1" applyBorder="1" applyAlignment="1">
      <alignment horizontal="center" vertical="center"/>
    </xf>
    <xf numFmtId="3" fontId="2" fillId="29" borderId="275" xfId="1" applyNumberFormat="1" applyFont="1" applyFill="1" applyBorder="1" applyAlignment="1">
      <alignment horizontal="center" vertical="center"/>
    </xf>
    <xf numFmtId="3" fontId="2" fillId="29" borderId="275" xfId="1" applyNumberFormat="1" applyFont="1" applyFill="1" applyBorder="1" applyAlignment="1">
      <alignment horizontal="left" vertical="center"/>
    </xf>
    <xf numFmtId="0" fontId="2" fillId="29" borderId="275" xfId="1" applyFont="1" applyFill="1" applyBorder="1" applyAlignment="1">
      <alignment horizontal="center" vertical="center"/>
    </xf>
    <xf numFmtId="174" fontId="2" fillId="29" borderId="275" xfId="1" applyNumberFormat="1" applyFont="1" applyFill="1" applyBorder="1" applyAlignment="1">
      <alignment horizontal="center" vertical="center"/>
    </xf>
    <xf numFmtId="14" fontId="2" fillId="29" borderId="275" xfId="1" applyNumberFormat="1" applyFont="1" applyFill="1" applyBorder="1" applyAlignment="1">
      <alignment horizontal="center" vertical="center"/>
    </xf>
    <xf numFmtId="2" fontId="53" fillId="28" borderId="281" xfId="1" applyNumberFormat="1" applyFont="1" applyFill="1" applyBorder="1" applyAlignment="1">
      <alignment horizontal="center" vertical="center"/>
    </xf>
    <xf numFmtId="0" fontId="111" fillId="29" borderId="27" xfId="1" applyFont="1" applyFill="1" applyBorder="1" applyAlignment="1">
      <alignment horizontal="center" vertical="center"/>
    </xf>
    <xf numFmtId="0" fontId="53" fillId="29" borderId="4" xfId="1" applyFont="1" applyFill="1" applyBorder="1" applyAlignment="1">
      <alignment horizontal="left" vertical="center"/>
    </xf>
    <xf numFmtId="0" fontId="2" fillId="28" borderId="19" xfId="1" applyFont="1" applyFill="1" applyBorder="1" applyAlignment="1">
      <alignment horizontal="center" vertical="center"/>
    </xf>
    <xf numFmtId="3" fontId="2" fillId="29" borderId="193" xfId="1" applyNumberFormat="1" applyFont="1" applyFill="1" applyBorder="1" applyAlignment="1">
      <alignment horizontal="center" vertical="center"/>
    </xf>
    <xf numFmtId="3" fontId="2" fillId="29" borderId="19" xfId="1" applyNumberFormat="1" applyFont="1" applyFill="1" applyBorder="1" applyAlignment="1">
      <alignment horizontal="center" vertical="center"/>
    </xf>
    <xf numFmtId="3" fontId="2" fillId="29" borderId="193" xfId="1" applyNumberFormat="1" applyFont="1" applyFill="1" applyBorder="1" applyAlignment="1">
      <alignment horizontal="left" vertical="center"/>
    </xf>
    <xf numFmtId="0" fontId="2" fillId="29" borderId="193" xfId="1" applyFont="1" applyFill="1" applyBorder="1" applyAlignment="1">
      <alignment horizontal="center" vertical="center"/>
    </xf>
    <xf numFmtId="174" fontId="2" fillId="29" borderId="193" xfId="1" applyNumberFormat="1" applyFont="1" applyFill="1" applyBorder="1" applyAlignment="1">
      <alignment horizontal="center" vertical="center"/>
    </xf>
    <xf numFmtId="14" fontId="2" fillId="29" borderId="193" xfId="1" applyNumberFormat="1" applyFont="1" applyFill="1" applyBorder="1" applyAlignment="1">
      <alignment horizontal="center" vertical="center"/>
    </xf>
    <xf numFmtId="0" fontId="111" fillId="29" borderId="276" xfId="1" applyFont="1" applyFill="1" applyBorder="1" applyAlignment="1">
      <alignment horizontal="center" vertical="center"/>
    </xf>
    <xf numFmtId="0" fontId="53" fillId="29" borderId="19" xfId="1" applyFont="1" applyFill="1" applyBorder="1" applyAlignment="1">
      <alignment horizontal="center"/>
    </xf>
    <xf numFmtId="0" fontId="107" fillId="29" borderId="277" xfId="1" applyFont="1" applyFill="1" applyBorder="1" applyAlignment="1">
      <alignment horizontal="left" vertical="center"/>
    </xf>
    <xf numFmtId="3" fontId="2" fillId="28" borderId="280" xfId="1" applyNumberFormat="1" applyFont="1" applyFill="1" applyBorder="1" applyAlignment="1">
      <alignment horizontal="center" vertical="center"/>
    </xf>
    <xf numFmtId="0" fontId="111" fillId="28" borderId="27" xfId="1" applyFont="1" applyFill="1" applyBorder="1" applyAlignment="1">
      <alignment horizontal="center" vertical="center"/>
    </xf>
    <xf numFmtId="0" fontId="107" fillId="29" borderId="4" xfId="1" applyFont="1" applyFill="1" applyBorder="1" applyAlignment="1">
      <alignment horizontal="left" vertical="center"/>
    </xf>
    <xf numFmtId="3" fontId="2" fillId="29" borderId="193" xfId="1" applyNumberFormat="1" applyFont="1" applyFill="1" applyBorder="1" applyAlignment="1">
      <alignment horizontal="right" vertical="center"/>
    </xf>
    <xf numFmtId="14" fontId="2" fillId="29" borderId="193" xfId="1" quotePrefix="1" applyNumberFormat="1" applyFont="1" applyFill="1" applyBorder="1" applyAlignment="1">
      <alignment horizontal="center" vertical="center"/>
    </xf>
    <xf numFmtId="0" fontId="111" fillId="27" borderId="276" xfId="1" applyFont="1" applyFill="1" applyBorder="1" applyAlignment="1">
      <alignment horizontal="center" vertical="center"/>
    </xf>
    <xf numFmtId="0" fontId="107" fillId="27" borderId="277" xfId="1" applyFont="1" applyFill="1" applyBorder="1" applyAlignment="1">
      <alignment horizontal="left" vertical="center"/>
    </xf>
    <xf numFmtId="0" fontId="115" fillId="27" borderId="280" xfId="1" applyFont="1" applyFill="1" applyBorder="1" applyAlignment="1">
      <alignment horizontal="center"/>
    </xf>
    <xf numFmtId="3" fontId="2" fillId="27" borderId="275" xfId="1" applyNumberFormat="1" applyFont="1" applyFill="1" applyBorder="1" applyAlignment="1">
      <alignment horizontal="right" vertical="center"/>
    </xf>
    <xf numFmtId="3" fontId="2" fillId="27" borderId="275" xfId="1" applyNumberFormat="1" applyFont="1" applyFill="1" applyBorder="1" applyAlignment="1">
      <alignment horizontal="left" vertical="center"/>
    </xf>
    <xf numFmtId="3" fontId="2" fillId="27" borderId="275" xfId="1" applyNumberFormat="1" applyFont="1" applyFill="1" applyBorder="1" applyAlignment="1">
      <alignment horizontal="center" vertical="center"/>
    </xf>
    <xf numFmtId="0" fontId="2" fillId="27" borderId="275" xfId="1" applyFont="1" applyFill="1" applyBorder="1" applyAlignment="1">
      <alignment horizontal="center" vertical="center"/>
    </xf>
    <xf numFmtId="174" fontId="2" fillId="27" borderId="275" xfId="1" applyNumberFormat="1" applyFont="1" applyFill="1" applyBorder="1" applyAlignment="1">
      <alignment horizontal="center" vertical="center"/>
    </xf>
    <xf numFmtId="14" fontId="2" fillId="27" borderId="275" xfId="1" applyNumberFormat="1" applyFont="1" applyFill="1" applyBorder="1" applyAlignment="1">
      <alignment horizontal="center" vertical="center"/>
    </xf>
    <xf numFmtId="0" fontId="162" fillId="29" borderId="27" xfId="1" applyFont="1" applyFill="1" applyBorder="1" applyAlignment="1">
      <alignment horizontal="center" vertical="center"/>
    </xf>
    <xf numFmtId="0" fontId="116" fillId="29" borderId="19" xfId="1" applyFont="1" applyFill="1" applyBorder="1" applyAlignment="1">
      <alignment horizontal="center"/>
    </xf>
    <xf numFmtId="3" fontId="2" fillId="29" borderId="290" xfId="1" applyNumberFormat="1" applyFont="1" applyFill="1" applyBorder="1" applyAlignment="1">
      <alignment horizontal="center" vertical="center"/>
    </xf>
    <xf numFmtId="0" fontId="2" fillId="28" borderId="4" xfId="1" applyFont="1" applyFill="1" applyBorder="1" applyAlignment="1">
      <alignment horizontal="left" vertical="center"/>
    </xf>
    <xf numFmtId="3" fontId="2" fillId="28" borderId="193" xfId="1" applyNumberFormat="1" applyFont="1" applyFill="1" applyBorder="1" applyAlignment="1">
      <alignment horizontal="right" vertical="center"/>
    </xf>
    <xf numFmtId="3" fontId="2" fillId="28" borderId="193" xfId="1" applyNumberFormat="1" applyFont="1" applyFill="1" applyBorder="1" applyAlignment="1">
      <alignment horizontal="left" vertical="center"/>
    </xf>
    <xf numFmtId="174" fontId="2" fillId="28" borderId="193" xfId="1" applyNumberFormat="1" applyFont="1" applyFill="1" applyBorder="1" applyAlignment="1">
      <alignment horizontal="center" vertical="center"/>
    </xf>
    <xf numFmtId="14" fontId="2" fillId="28" borderId="193" xfId="1" applyNumberFormat="1" applyFont="1" applyFill="1" applyBorder="1" applyAlignment="1">
      <alignment horizontal="center" vertical="center"/>
    </xf>
    <xf numFmtId="0" fontId="2" fillId="28" borderId="280" xfId="1" applyFont="1" applyFill="1" applyBorder="1" applyAlignment="1">
      <alignment horizontal="center" vertical="center"/>
    </xf>
    <xf numFmtId="0" fontId="127" fillId="2" borderId="4" xfId="15" applyFont="1" applyFill="1" applyBorder="1" applyAlignment="1">
      <alignment horizontal="left" vertical="center"/>
    </xf>
    <xf numFmtId="3" fontId="106" fillId="28" borderId="193" xfId="1" applyNumberFormat="1" applyFont="1" applyFill="1" applyBorder="1" applyAlignment="1">
      <alignment horizontal="right" vertical="center"/>
    </xf>
    <xf numFmtId="3" fontId="106" fillId="28" borderId="193" xfId="1" applyNumberFormat="1" applyFont="1" applyFill="1" applyBorder="1" applyAlignment="1">
      <alignment horizontal="center" vertical="center"/>
    </xf>
    <xf numFmtId="3" fontId="53" fillId="28" borderId="55" xfId="1" applyNumberFormat="1" applyFont="1" applyFill="1" applyBorder="1" applyAlignment="1">
      <alignment horizontal="center" vertical="center"/>
    </xf>
    <xf numFmtId="3" fontId="53" fillId="28" borderId="193" xfId="1" applyNumberFormat="1" applyFont="1" applyFill="1" applyBorder="1" applyAlignment="1">
      <alignment horizontal="center" vertical="center"/>
    </xf>
    <xf numFmtId="3" fontId="53" fillId="28" borderId="193" xfId="1" applyNumberFormat="1" applyFont="1" applyFill="1" applyBorder="1" applyAlignment="1">
      <alignment horizontal="center" vertical="center" shrinkToFit="1"/>
    </xf>
    <xf numFmtId="14" fontId="53" fillId="28" borderId="193" xfId="1" applyNumberFormat="1" applyFont="1" applyFill="1" applyBorder="1" applyAlignment="1">
      <alignment horizontal="center" vertical="center"/>
    </xf>
    <xf numFmtId="0" fontId="53" fillId="28" borderId="277" xfId="1" applyFont="1" applyFill="1" applyBorder="1" applyAlignment="1">
      <alignment horizontal="left" vertical="center"/>
    </xf>
    <xf numFmtId="0" fontId="115" fillId="28" borderId="280" xfId="1" applyFont="1" applyFill="1" applyBorder="1" applyAlignment="1">
      <alignment horizontal="center"/>
    </xf>
    <xf numFmtId="3" fontId="106" fillId="28" borderId="275" xfId="1" applyNumberFormat="1" applyFont="1" applyFill="1" applyBorder="1" applyAlignment="1">
      <alignment horizontal="right" vertical="center"/>
    </xf>
    <xf numFmtId="3" fontId="53" fillId="28" borderId="275" xfId="1" applyNumberFormat="1" applyFont="1" applyFill="1" applyBorder="1" applyAlignment="1">
      <alignment horizontal="center" vertical="center"/>
    </xf>
    <xf numFmtId="3" fontId="2" fillId="28" borderId="275" xfId="1" applyNumberFormat="1" applyFont="1" applyFill="1" applyBorder="1" applyAlignment="1">
      <alignment horizontal="center" vertical="center"/>
    </xf>
    <xf numFmtId="3" fontId="53" fillId="28" borderId="275" xfId="1" applyNumberFormat="1" applyFont="1" applyFill="1" applyBorder="1" applyAlignment="1">
      <alignment horizontal="left" vertical="center"/>
    </xf>
    <xf numFmtId="0" fontId="2" fillId="28" borderId="275" xfId="1" applyFont="1" applyFill="1" applyBorder="1" applyAlignment="1">
      <alignment horizontal="center" vertical="center"/>
    </xf>
    <xf numFmtId="174" fontId="53" fillId="28" borderId="275" xfId="1" applyNumberFormat="1" applyFont="1" applyFill="1" applyBorder="1" applyAlignment="1">
      <alignment horizontal="center" vertical="center"/>
    </xf>
    <xf numFmtId="14" fontId="53" fillId="28" borderId="275" xfId="1" applyNumberFormat="1" applyFont="1" applyFill="1" applyBorder="1" applyAlignment="1">
      <alignment horizontal="center" vertical="center"/>
    </xf>
    <xf numFmtId="0" fontId="107" fillId="30" borderId="4" xfId="1" applyFont="1" applyFill="1" applyBorder="1" applyAlignment="1">
      <alignment horizontal="left" vertical="center"/>
    </xf>
    <xf numFmtId="0" fontId="115" fillId="30" borderId="19" xfId="1" applyFont="1" applyFill="1" applyBorder="1" applyAlignment="1">
      <alignment horizontal="center"/>
    </xf>
    <xf numFmtId="3" fontId="2" fillId="30" borderId="193" xfId="1" applyNumberFormat="1" applyFont="1" applyFill="1" applyBorder="1" applyAlignment="1">
      <alignment horizontal="right" vertical="center"/>
    </xf>
    <xf numFmtId="3" fontId="2" fillId="30" borderId="193" xfId="1" applyNumberFormat="1" applyFont="1" applyFill="1" applyBorder="1" applyAlignment="1">
      <alignment horizontal="left" vertical="center"/>
    </xf>
    <xf numFmtId="3" fontId="2" fillId="30" borderId="193" xfId="1" applyNumberFormat="1" applyFont="1" applyFill="1" applyBorder="1" applyAlignment="1">
      <alignment horizontal="center" vertical="center"/>
    </xf>
    <xf numFmtId="0" fontId="2" fillId="30" borderId="193" xfId="1" applyFont="1" applyFill="1" applyBorder="1" applyAlignment="1">
      <alignment horizontal="center" vertical="center"/>
    </xf>
    <xf numFmtId="174" fontId="2" fillId="30" borderId="193" xfId="1" applyNumberFormat="1" applyFont="1" applyFill="1" applyBorder="1" applyAlignment="1">
      <alignment horizontal="center" vertical="center"/>
    </xf>
    <xf numFmtId="14" fontId="2" fillId="30" borderId="193" xfId="1" applyNumberFormat="1" applyFont="1" applyFill="1" applyBorder="1" applyAlignment="1">
      <alignment horizontal="center" vertical="center"/>
    </xf>
    <xf numFmtId="0" fontId="162" fillId="31" borderId="276" xfId="1" applyFont="1" applyFill="1" applyBorder="1" applyAlignment="1">
      <alignment horizontal="center" vertical="center"/>
    </xf>
    <xf numFmtId="0" fontId="53" fillId="31" borderId="277" xfId="1" applyFont="1" applyFill="1" applyBorder="1" applyAlignment="1">
      <alignment horizontal="left" vertical="center"/>
    </xf>
    <xf numFmtId="0" fontId="116" fillId="31" borderId="280" xfId="1" applyFont="1" applyFill="1" applyBorder="1" applyAlignment="1">
      <alignment horizontal="center"/>
    </xf>
    <xf numFmtId="3" fontId="2" fillId="31" borderId="275" xfId="1" applyNumberFormat="1" applyFont="1" applyFill="1" applyBorder="1" applyAlignment="1">
      <alignment horizontal="right" vertical="center"/>
    </xf>
    <xf numFmtId="3" fontId="2" fillId="28" borderId="290" xfId="1" applyNumberFormat="1" applyFont="1" applyFill="1" applyBorder="1" applyAlignment="1">
      <alignment horizontal="center" vertical="center"/>
    </xf>
    <xf numFmtId="3" fontId="2" fillId="31" borderId="275" xfId="1" applyNumberFormat="1" applyFont="1" applyFill="1" applyBorder="1" applyAlignment="1">
      <alignment horizontal="left" vertical="center"/>
    </xf>
    <xf numFmtId="3" fontId="2" fillId="31" borderId="275" xfId="1" applyNumberFormat="1" applyFont="1" applyFill="1" applyBorder="1" applyAlignment="1">
      <alignment horizontal="center" vertical="center"/>
    </xf>
    <xf numFmtId="0" fontId="111" fillId="31" borderId="275" xfId="1" applyFont="1" applyFill="1" applyBorder="1" applyAlignment="1">
      <alignment horizontal="center" vertical="center"/>
    </xf>
    <xf numFmtId="174" fontId="2" fillId="31" borderId="275" xfId="1" applyNumberFormat="1" applyFont="1" applyFill="1" applyBorder="1" applyAlignment="1">
      <alignment horizontal="center" vertical="center"/>
    </xf>
    <xf numFmtId="14" fontId="2" fillId="31" borderId="275" xfId="1" applyNumberFormat="1" applyFont="1" applyFill="1" applyBorder="1" applyAlignment="1">
      <alignment horizontal="center" vertical="center"/>
    </xf>
    <xf numFmtId="0" fontId="2" fillId="28" borderId="4" xfId="15" applyFont="1" applyFill="1" applyBorder="1" applyAlignment="1">
      <alignment horizontal="left" vertical="center"/>
    </xf>
    <xf numFmtId="0" fontId="116" fillId="28" borderId="19" xfId="1" applyFont="1" applyFill="1" applyBorder="1" applyAlignment="1">
      <alignment horizontal="center"/>
    </xf>
    <xf numFmtId="3" fontId="110" fillId="28" borderId="55" xfId="1" applyNumberFormat="1" applyFont="1" applyFill="1" applyBorder="1" applyAlignment="1">
      <alignment horizontal="center" vertical="center"/>
    </xf>
    <xf numFmtId="3" fontId="110" fillId="28" borderId="193" xfId="1" applyNumberFormat="1" applyFont="1" applyFill="1" applyBorder="1" applyAlignment="1">
      <alignment horizontal="center" vertical="center"/>
    </xf>
    <xf numFmtId="0" fontId="111" fillId="28" borderId="193" xfId="1" applyFont="1" applyFill="1" applyBorder="1" applyAlignment="1">
      <alignment horizontal="center" vertical="center"/>
    </xf>
    <xf numFmtId="0" fontId="116" fillId="29" borderId="280" xfId="1" applyFont="1" applyFill="1" applyBorder="1" applyAlignment="1">
      <alignment horizontal="center"/>
    </xf>
    <xf numFmtId="166" fontId="2" fillId="29" borderId="275" xfId="1" applyNumberFormat="1" applyFont="1" applyFill="1" applyBorder="1" applyAlignment="1">
      <alignment horizontal="center" vertical="center"/>
    </xf>
    <xf numFmtId="0" fontId="53" fillId="28" borderId="4" xfId="1" applyFont="1" applyFill="1" applyBorder="1" applyAlignment="1">
      <alignment horizontal="left" vertical="center"/>
    </xf>
    <xf numFmtId="0" fontId="115" fillId="28" borderId="19" xfId="1" applyFont="1" applyFill="1" applyBorder="1" applyAlignment="1">
      <alignment horizontal="center"/>
    </xf>
    <xf numFmtId="0" fontId="111" fillId="28" borderId="276" xfId="1" applyFont="1" applyFill="1" applyBorder="1" applyAlignment="1">
      <alignment horizontal="center" vertical="center"/>
    </xf>
    <xf numFmtId="0" fontId="111" fillId="30" borderId="27" xfId="1" applyFont="1" applyFill="1" applyBorder="1" applyAlignment="1">
      <alignment horizontal="center" vertical="center"/>
    </xf>
    <xf numFmtId="3" fontId="48" fillId="0" borderId="259" xfId="1" applyNumberFormat="1" applyFont="1" applyFill="1" applyBorder="1" applyAlignment="1">
      <alignment horizontal="center" vertical="center"/>
    </xf>
    <xf numFmtId="3" fontId="43" fillId="0" borderId="199" xfId="1" applyNumberFormat="1" applyFont="1" applyFill="1" applyBorder="1" applyAlignment="1">
      <alignment horizontal="center" vertical="center"/>
    </xf>
    <xf numFmtId="3" fontId="43" fillId="0" borderId="259" xfId="1" applyNumberFormat="1" applyFont="1" applyFill="1" applyBorder="1" applyAlignment="1">
      <alignment horizontal="center" vertical="center"/>
    </xf>
    <xf numFmtId="3" fontId="43" fillId="6" borderId="296" xfId="1" applyNumberFormat="1" applyFont="1" applyFill="1" applyBorder="1" applyAlignment="1">
      <alignment horizontal="center" vertical="center"/>
    </xf>
    <xf numFmtId="3" fontId="43" fillId="6" borderId="8" xfId="1" applyNumberFormat="1" applyFont="1" applyFill="1" applyBorder="1" applyAlignment="1">
      <alignment horizontal="center" vertical="center"/>
    </xf>
    <xf numFmtId="3" fontId="43" fillId="6" borderId="199" xfId="1" applyNumberFormat="1" applyFont="1" applyFill="1" applyBorder="1" applyAlignment="1">
      <alignment horizontal="center" vertical="center"/>
    </xf>
    <xf numFmtId="3" fontId="43" fillId="6" borderId="297" xfId="1" applyNumberFormat="1" applyFont="1" applyFill="1" applyBorder="1" applyAlignment="1">
      <alignment horizontal="center" vertical="center"/>
    </xf>
    <xf numFmtId="3" fontId="43" fillId="33" borderId="0" xfId="1" applyNumberFormat="1" applyFont="1" applyFill="1" applyBorder="1" applyAlignment="1">
      <alignment horizontal="center" vertical="center"/>
    </xf>
    <xf numFmtId="3" fontId="43" fillId="36" borderId="0" xfId="1" applyNumberFormat="1" applyFont="1" applyFill="1" applyBorder="1" applyAlignment="1">
      <alignment horizontal="center" vertical="center"/>
    </xf>
    <xf numFmtId="3" fontId="43" fillId="34" borderId="0" xfId="1" applyNumberFormat="1" applyFont="1" applyFill="1" applyBorder="1" applyAlignment="1">
      <alignment horizontal="center" vertical="center"/>
    </xf>
    <xf numFmtId="3" fontId="43" fillId="37" borderId="0" xfId="1" applyNumberFormat="1" applyFont="1" applyFill="1" applyBorder="1" applyAlignment="1">
      <alignment horizontal="center" vertical="center"/>
    </xf>
    <xf numFmtId="3" fontId="43" fillId="15" borderId="8" xfId="1" applyNumberFormat="1" applyFont="1" applyFill="1" applyBorder="1" applyAlignment="1">
      <alignment horizontal="center" vertical="center"/>
    </xf>
    <xf numFmtId="3" fontId="43" fillId="12" borderId="0" xfId="1" applyNumberFormat="1" applyFont="1" applyFill="1" applyBorder="1" applyAlignment="1">
      <alignment horizontal="center" vertical="center"/>
    </xf>
    <xf numFmtId="3" fontId="43" fillId="12" borderId="8" xfId="1" applyNumberFormat="1" applyFont="1" applyFill="1" applyBorder="1" applyAlignment="1">
      <alignment horizontal="center" vertical="center"/>
    </xf>
    <xf numFmtId="3" fontId="43" fillId="13" borderId="8" xfId="1" applyNumberFormat="1" applyFont="1" applyFill="1" applyBorder="1" applyAlignment="1">
      <alignment horizontal="center" vertical="center"/>
    </xf>
    <xf numFmtId="3" fontId="43" fillId="16" borderId="8" xfId="1" applyNumberFormat="1" applyFont="1" applyFill="1" applyBorder="1" applyAlignment="1">
      <alignment horizontal="center" vertical="center"/>
    </xf>
    <xf numFmtId="3" fontId="43" fillId="15" borderId="297" xfId="1" applyNumberFormat="1" applyFont="1" applyFill="1" applyBorder="1" applyAlignment="1">
      <alignment horizontal="center" vertical="center"/>
    </xf>
    <xf numFmtId="3" fontId="43" fillId="13" borderId="270" xfId="1" applyNumberFormat="1" applyFont="1" applyFill="1" applyBorder="1" applyAlignment="1">
      <alignment horizontal="center" vertical="center"/>
    </xf>
    <xf numFmtId="3" fontId="43" fillId="12" borderId="297" xfId="1" applyNumberFormat="1" applyFont="1" applyFill="1" applyBorder="1" applyAlignment="1">
      <alignment horizontal="center" vertical="center"/>
    </xf>
    <xf numFmtId="3" fontId="43" fillId="15" borderId="0" xfId="1" applyNumberFormat="1" applyFont="1" applyFill="1" applyBorder="1" applyAlignment="1">
      <alignment horizontal="center" vertical="center"/>
    </xf>
    <xf numFmtId="3" fontId="43" fillId="14" borderId="8" xfId="1" applyNumberFormat="1" applyFont="1" applyFill="1" applyBorder="1" applyAlignment="1">
      <alignment horizontal="center" vertical="center"/>
    </xf>
    <xf numFmtId="3" fontId="43" fillId="13" borderId="297" xfId="1" applyNumberFormat="1" applyFont="1" applyFill="1" applyBorder="1" applyAlignment="1">
      <alignment horizontal="center" vertical="center"/>
    </xf>
    <xf numFmtId="3" fontId="43" fillId="16" borderId="297" xfId="1" applyNumberFormat="1" applyFont="1" applyFill="1" applyBorder="1" applyAlignment="1">
      <alignment horizontal="center" vertical="center"/>
    </xf>
    <xf numFmtId="3" fontId="48" fillId="12" borderId="0" xfId="1" applyNumberFormat="1" applyFont="1" applyFill="1" applyBorder="1" applyAlignment="1">
      <alignment horizontal="center" vertical="center"/>
    </xf>
    <xf numFmtId="3" fontId="43" fillId="22" borderId="4" xfId="1" applyNumberFormat="1" applyFont="1" applyFill="1" applyBorder="1" applyAlignment="1">
      <alignment horizontal="center" vertical="center"/>
    </xf>
    <xf numFmtId="3" fontId="43" fillId="22" borderId="8" xfId="1" applyNumberFormat="1" applyFont="1" applyFill="1" applyBorder="1" applyAlignment="1">
      <alignment horizontal="center" vertical="center"/>
    </xf>
    <xf numFmtId="3" fontId="43" fillId="19" borderId="297" xfId="1" applyNumberFormat="1" applyFont="1" applyFill="1" applyBorder="1" applyAlignment="1">
      <alignment horizontal="center" vertical="center"/>
    </xf>
    <xf numFmtId="3" fontId="43" fillId="3" borderId="8" xfId="1" applyNumberFormat="1" applyFont="1" applyFill="1" applyBorder="1" applyAlignment="1">
      <alignment horizontal="center" vertical="center"/>
    </xf>
    <xf numFmtId="3" fontId="43" fillId="19" borderId="8" xfId="1" applyNumberFormat="1" applyFont="1" applyFill="1" applyBorder="1" applyAlignment="1">
      <alignment horizontal="center" vertical="center"/>
    </xf>
    <xf numFmtId="3" fontId="43" fillId="3" borderId="297" xfId="1" applyNumberFormat="1" applyFont="1" applyFill="1" applyBorder="1" applyAlignment="1">
      <alignment horizontal="center" vertical="center"/>
    </xf>
    <xf numFmtId="3" fontId="43" fillId="22" borderId="297" xfId="1" applyNumberFormat="1" applyFont="1" applyFill="1" applyBorder="1" applyAlignment="1">
      <alignment horizontal="center" vertical="center"/>
    </xf>
    <xf numFmtId="3" fontId="43" fillId="21" borderId="297" xfId="1" applyNumberFormat="1" applyFont="1" applyFill="1" applyBorder="1" applyAlignment="1">
      <alignment horizontal="center" vertical="center"/>
    </xf>
    <xf numFmtId="3" fontId="43" fillId="24" borderId="297" xfId="1" applyNumberFormat="1" applyFont="1" applyFill="1" applyBorder="1" applyAlignment="1">
      <alignment horizontal="center" vertical="center"/>
    </xf>
    <xf numFmtId="3" fontId="43" fillId="24" borderId="8" xfId="1" applyNumberFormat="1" applyFont="1" applyFill="1" applyBorder="1" applyAlignment="1">
      <alignment horizontal="center" vertical="center"/>
    </xf>
    <xf numFmtId="3" fontId="43" fillId="26" borderId="297" xfId="1" applyNumberFormat="1" applyFont="1" applyFill="1" applyBorder="1" applyAlignment="1">
      <alignment horizontal="center" vertical="center"/>
    </xf>
    <xf numFmtId="3" fontId="43" fillId="24" borderId="4" xfId="1" applyNumberFormat="1" applyFont="1" applyFill="1" applyBorder="1" applyAlignment="1">
      <alignment horizontal="center" vertical="center"/>
    </xf>
    <xf numFmtId="3" fontId="43" fillId="3" borderId="4" xfId="1" applyNumberFormat="1" applyFont="1" applyFill="1" applyBorder="1" applyAlignment="1">
      <alignment horizontal="center" vertical="center"/>
    </xf>
    <xf numFmtId="3" fontId="50" fillId="0" borderId="271" xfId="1" applyNumberFormat="1" applyFont="1" applyFill="1" applyBorder="1" applyAlignment="1">
      <alignment horizontal="center" vertical="center"/>
    </xf>
    <xf numFmtId="3" fontId="50" fillId="0" borderId="299" xfId="1" applyNumberFormat="1" applyFont="1" applyFill="1" applyBorder="1" applyAlignment="1">
      <alignment horizontal="center" vertical="center"/>
    </xf>
    <xf numFmtId="3" fontId="169" fillId="0" borderId="271" xfId="1" applyNumberFormat="1" applyFont="1" applyFill="1" applyBorder="1" applyAlignment="1">
      <alignment horizontal="center" vertical="center"/>
    </xf>
    <xf numFmtId="3" fontId="50" fillId="0" borderId="300" xfId="1" applyNumberFormat="1" applyFont="1" applyFill="1" applyBorder="1" applyAlignment="1">
      <alignment horizontal="center" vertical="center"/>
    </xf>
    <xf numFmtId="3" fontId="169" fillId="6" borderId="271" xfId="1" applyNumberFormat="1" applyFont="1" applyFill="1" applyBorder="1" applyAlignment="1">
      <alignment horizontal="center" vertical="center"/>
    </xf>
    <xf numFmtId="3" fontId="169" fillId="6" borderId="32" xfId="1" applyNumberFormat="1" applyFont="1" applyFill="1" applyBorder="1" applyAlignment="1">
      <alignment horizontal="center" vertical="center"/>
    </xf>
    <xf numFmtId="3" fontId="50" fillId="6" borderId="271" xfId="1" applyNumberFormat="1" applyFont="1" applyFill="1" applyBorder="1" applyAlignment="1">
      <alignment horizontal="center" vertical="center"/>
    </xf>
    <xf numFmtId="3" fontId="50" fillId="6" borderId="113" xfId="1" applyNumberFormat="1" applyFont="1" applyFill="1" applyBorder="1" applyAlignment="1">
      <alignment horizontal="center" vertical="center"/>
    </xf>
    <xf numFmtId="3" fontId="169" fillId="7" borderId="271" xfId="1" applyNumberFormat="1" applyFont="1" applyFill="1" applyBorder="1" applyAlignment="1">
      <alignment horizontal="center" vertical="center"/>
    </xf>
    <xf numFmtId="3" fontId="169" fillId="10" borderId="271" xfId="1" applyNumberFormat="1" applyFont="1" applyFill="1" applyBorder="1" applyAlignment="1">
      <alignment horizontal="center" vertical="center"/>
    </xf>
    <xf numFmtId="3" fontId="50" fillId="9" borderId="271" xfId="1" applyNumberFormat="1" applyFont="1" applyFill="1" applyBorder="1" applyAlignment="1">
      <alignment horizontal="center" vertical="center"/>
    </xf>
    <xf numFmtId="3" fontId="50" fillId="6" borderId="299" xfId="1" applyNumberFormat="1" applyFont="1" applyFill="1" applyBorder="1" applyAlignment="1">
      <alignment horizontal="center" vertical="center"/>
    </xf>
    <xf numFmtId="3" fontId="169" fillId="9" borderId="271" xfId="1" applyNumberFormat="1" applyFont="1" applyFill="1" applyBorder="1" applyAlignment="1">
      <alignment horizontal="center" vertical="center"/>
    </xf>
    <xf numFmtId="3" fontId="169" fillId="9" borderId="299" xfId="1" applyNumberFormat="1" applyFont="1" applyFill="1" applyBorder="1" applyAlignment="1">
      <alignment horizontal="center" vertical="center"/>
    </xf>
    <xf numFmtId="3" fontId="50" fillId="6" borderId="32" xfId="1" applyNumberFormat="1" applyFont="1" applyFill="1" applyBorder="1" applyAlignment="1">
      <alignment horizontal="center" vertical="center"/>
    </xf>
    <xf numFmtId="3" fontId="169" fillId="8" borderId="271" xfId="1" applyNumberFormat="1" applyFont="1" applyFill="1" applyBorder="1" applyAlignment="1">
      <alignment horizontal="center" vertical="center"/>
    </xf>
    <xf numFmtId="3" fontId="50" fillId="8" borderId="299" xfId="1" applyNumberFormat="1" applyFont="1" applyFill="1" applyBorder="1" applyAlignment="1">
      <alignment horizontal="center" vertical="center"/>
    </xf>
    <xf numFmtId="3" fontId="50" fillId="8" borderId="271" xfId="1" applyNumberFormat="1" applyFont="1" applyFill="1" applyBorder="1" applyAlignment="1">
      <alignment horizontal="center" vertical="center"/>
    </xf>
    <xf numFmtId="3" fontId="50" fillId="39" borderId="271" xfId="1" applyNumberFormat="1" applyFont="1" applyFill="1" applyBorder="1" applyAlignment="1">
      <alignment horizontal="center" vertical="center"/>
    </xf>
    <xf numFmtId="3" fontId="50" fillId="35" borderId="271" xfId="1" applyNumberFormat="1" applyFont="1" applyFill="1" applyBorder="1" applyAlignment="1">
      <alignment horizontal="center" vertical="center"/>
    </xf>
    <xf numFmtId="3" fontId="169" fillId="35" borderId="299" xfId="1" applyNumberFormat="1" applyFont="1" applyFill="1" applyBorder="1" applyAlignment="1">
      <alignment horizontal="center" vertical="center"/>
    </xf>
    <xf numFmtId="3" fontId="169" fillId="33" borderId="271" xfId="1" applyNumberFormat="1" applyFont="1" applyFill="1" applyBorder="1" applyAlignment="1">
      <alignment horizontal="center" vertical="center"/>
    </xf>
    <xf numFmtId="3" fontId="50" fillId="34" borderId="271" xfId="1" applyNumberFormat="1" applyFont="1" applyFill="1" applyBorder="1" applyAlignment="1">
      <alignment horizontal="center" vertical="center"/>
    </xf>
    <xf numFmtId="3" fontId="169" fillId="33" borderId="299" xfId="1" applyNumberFormat="1" applyFont="1" applyFill="1" applyBorder="1" applyAlignment="1">
      <alignment horizontal="center" vertical="center"/>
    </xf>
    <xf numFmtId="3" fontId="169" fillId="36" borderId="271" xfId="1" applyNumberFormat="1" applyFont="1" applyFill="1" applyBorder="1" applyAlignment="1">
      <alignment horizontal="center" vertical="center"/>
    </xf>
    <xf numFmtId="3" fontId="169" fillId="37" borderId="271" xfId="1" applyNumberFormat="1" applyFont="1" applyFill="1" applyBorder="1" applyAlignment="1">
      <alignment horizontal="center" vertical="center"/>
    </xf>
    <xf numFmtId="3" fontId="169" fillId="33" borderId="111" xfId="1" applyNumberFormat="1" applyFont="1" applyFill="1" applyBorder="1" applyAlignment="1">
      <alignment horizontal="center" vertical="center"/>
    </xf>
    <xf numFmtId="3" fontId="169" fillId="34" borderId="111" xfId="1" applyNumberFormat="1" applyFont="1" applyFill="1" applyBorder="1" applyAlignment="1">
      <alignment horizontal="center" vertical="center"/>
    </xf>
    <xf numFmtId="3" fontId="169" fillId="37" borderId="111" xfId="1" applyNumberFormat="1" applyFont="1" applyFill="1" applyBorder="1" applyAlignment="1">
      <alignment horizontal="center" vertical="center"/>
    </xf>
    <xf numFmtId="3" fontId="169" fillId="35" borderId="111" xfId="1" applyNumberFormat="1" applyFont="1" applyFill="1" applyBorder="1" applyAlignment="1">
      <alignment horizontal="center" vertical="center"/>
    </xf>
    <xf numFmtId="3" fontId="50" fillId="35" borderId="111" xfId="1" applyNumberFormat="1" applyFont="1" applyFill="1" applyBorder="1" applyAlignment="1">
      <alignment horizontal="center" vertical="center"/>
    </xf>
    <xf numFmtId="3" fontId="169" fillId="36" borderId="111" xfId="1" applyNumberFormat="1" applyFont="1" applyFill="1" applyBorder="1" applyAlignment="1">
      <alignment horizontal="center" vertical="center"/>
    </xf>
    <xf numFmtId="3" fontId="169" fillId="34" borderId="298" xfId="1" applyNumberFormat="1" applyFont="1" applyFill="1" applyBorder="1" applyAlignment="1">
      <alignment horizontal="center" vertical="center"/>
    </xf>
    <xf numFmtId="3" fontId="169" fillId="15" borderId="19" xfId="1" applyNumberFormat="1" applyFont="1" applyFill="1" applyBorder="1" applyAlignment="1">
      <alignment horizontal="center" vertical="center"/>
    </xf>
    <xf numFmtId="3" fontId="169" fillId="14" borderId="111" xfId="1" applyNumberFormat="1" applyFont="1" applyFill="1" applyBorder="1" applyAlignment="1">
      <alignment horizontal="center" vertical="center"/>
    </xf>
    <xf numFmtId="3" fontId="169" fillId="15" borderId="114" xfId="1" applyNumberFormat="1" applyFont="1" applyFill="1" applyBorder="1" applyAlignment="1">
      <alignment horizontal="center" vertical="center"/>
    </xf>
    <xf numFmtId="3" fontId="169" fillId="12" borderId="111" xfId="1" applyNumberFormat="1" applyFont="1" applyFill="1" applyBorder="1" applyAlignment="1">
      <alignment horizontal="center" vertical="center"/>
    </xf>
    <xf numFmtId="3" fontId="169" fillId="12" borderId="114" xfId="1" applyNumberFormat="1" applyFont="1" applyFill="1" applyBorder="1" applyAlignment="1">
      <alignment horizontal="center" vertical="center"/>
    </xf>
    <xf numFmtId="3" fontId="50" fillId="16" borderId="114" xfId="1" applyNumberFormat="1" applyFont="1" applyFill="1" applyBorder="1" applyAlignment="1">
      <alignment horizontal="center" vertical="center"/>
    </xf>
    <xf numFmtId="3" fontId="50" fillId="15" borderId="111" xfId="1" applyNumberFormat="1" applyFont="1" applyFill="1" applyBorder="1" applyAlignment="1">
      <alignment horizontal="center" vertical="center"/>
    </xf>
    <xf numFmtId="3" fontId="50" fillId="13" borderId="111" xfId="1" applyNumberFormat="1" applyFont="1" applyFill="1" applyBorder="1" applyAlignment="1">
      <alignment horizontal="center" vertical="center"/>
    </xf>
    <xf numFmtId="3" fontId="169" fillId="14" borderId="301" xfId="1" applyNumberFormat="1" applyFont="1" applyFill="1" applyBorder="1" applyAlignment="1">
      <alignment horizontal="center" vertical="center"/>
    </xf>
    <xf numFmtId="3" fontId="50" fillId="13" borderId="114" xfId="1" applyNumberFormat="1" applyFont="1" applyFill="1" applyBorder="1" applyAlignment="1">
      <alignment horizontal="center" vertical="center"/>
    </xf>
    <xf numFmtId="3" fontId="169" fillId="16" borderId="114" xfId="1" applyNumberFormat="1" applyFont="1" applyFill="1" applyBorder="1" applyAlignment="1">
      <alignment horizontal="center" vertical="center"/>
    </xf>
    <xf numFmtId="3" fontId="169" fillId="15" borderId="301" xfId="1" applyNumberFormat="1" applyFont="1" applyFill="1" applyBorder="1" applyAlignment="1">
      <alignment horizontal="center" vertical="center"/>
    </xf>
    <xf numFmtId="3" fontId="169" fillId="13" borderId="111" xfId="1" applyNumberFormat="1" applyFont="1" applyFill="1" applyBorder="1" applyAlignment="1">
      <alignment horizontal="center" vertical="center"/>
    </xf>
    <xf numFmtId="3" fontId="50" fillId="16" borderId="111" xfId="1" applyNumberFormat="1" applyFont="1" applyFill="1" applyBorder="1" applyAlignment="1">
      <alignment horizontal="center" vertical="center"/>
    </xf>
    <xf numFmtId="3" fontId="169" fillId="13" borderId="301" xfId="1" applyNumberFormat="1" applyFont="1" applyFill="1" applyBorder="1" applyAlignment="1">
      <alignment horizontal="center" vertical="center"/>
    </xf>
    <xf numFmtId="3" fontId="169" fillId="15" borderId="111" xfId="1" applyNumberFormat="1" applyFont="1" applyFill="1" applyBorder="1" applyAlignment="1">
      <alignment horizontal="center" vertical="center"/>
    </xf>
    <xf numFmtId="3" fontId="169" fillId="14" borderId="114" xfId="1" applyNumberFormat="1" applyFont="1" applyFill="1" applyBorder="1" applyAlignment="1">
      <alignment horizontal="center" vertical="center"/>
    </xf>
    <xf numFmtId="3" fontId="169" fillId="16" borderId="111" xfId="1" applyNumberFormat="1" applyFont="1" applyFill="1" applyBorder="1" applyAlignment="1">
      <alignment horizontal="center" vertical="center"/>
    </xf>
    <xf numFmtId="3" fontId="169" fillId="13" borderId="114" xfId="1" applyNumberFormat="1" applyFont="1" applyFill="1" applyBorder="1" applyAlignment="1">
      <alignment horizontal="center" vertical="center"/>
    </xf>
    <xf numFmtId="3" fontId="50" fillId="13" borderId="301" xfId="1" applyNumberFormat="1" applyFont="1" applyFill="1" applyBorder="1" applyAlignment="1">
      <alignment horizontal="center" vertical="center"/>
    </xf>
    <xf numFmtId="3" fontId="169" fillId="16" borderId="301" xfId="1" applyNumberFormat="1" applyFont="1" applyFill="1" applyBorder="1" applyAlignment="1">
      <alignment horizontal="center" vertical="center"/>
    </xf>
    <xf numFmtId="3" fontId="74" fillId="13" borderId="114" xfId="1" applyNumberFormat="1" applyFont="1" applyFill="1" applyBorder="1" applyAlignment="1">
      <alignment horizontal="center" vertical="center" wrapText="1"/>
    </xf>
    <xf numFmtId="3" fontId="50" fillId="15" borderId="301" xfId="1" applyNumberFormat="1" applyFont="1" applyFill="1" applyBorder="1" applyAlignment="1">
      <alignment horizontal="center" vertical="center"/>
    </xf>
    <xf numFmtId="3" fontId="50" fillId="12" borderId="111" xfId="1" applyNumberFormat="1" applyFont="1" applyFill="1" applyBorder="1" applyAlignment="1">
      <alignment horizontal="center" vertical="center"/>
    </xf>
    <xf numFmtId="3" fontId="169" fillId="16" borderId="19" xfId="1" applyNumberFormat="1" applyFont="1" applyFill="1" applyBorder="1" applyAlignment="1">
      <alignment horizontal="center" vertical="center"/>
    </xf>
    <xf numFmtId="3" fontId="169" fillId="16" borderId="298" xfId="1" applyNumberFormat="1" applyFont="1" applyFill="1" applyBorder="1" applyAlignment="1">
      <alignment horizontal="center" vertical="center"/>
    </xf>
    <xf numFmtId="3" fontId="50" fillId="13" borderId="298" xfId="1" applyNumberFormat="1" applyFont="1" applyFill="1" applyBorder="1" applyAlignment="1">
      <alignment horizontal="center" vertical="center"/>
    </xf>
    <xf numFmtId="3" fontId="50" fillId="14" borderId="19" xfId="1" applyNumberFormat="1" applyFont="1" applyFill="1" applyBorder="1" applyAlignment="1">
      <alignment horizontal="center" vertical="center"/>
    </xf>
    <xf numFmtId="3" fontId="125" fillId="16" borderId="111" xfId="1" applyNumberFormat="1" applyFont="1" applyFill="1" applyBorder="1" applyAlignment="1">
      <alignment horizontal="center" vertical="center"/>
    </xf>
    <xf numFmtId="3" fontId="125" fillId="16" borderId="298" xfId="1" applyNumberFormat="1" applyFont="1" applyFill="1" applyBorder="1" applyAlignment="1">
      <alignment horizontal="center" vertical="center"/>
    </xf>
    <xf numFmtId="3" fontId="169" fillId="13" borderId="19" xfId="1" applyNumberFormat="1" applyFont="1" applyFill="1" applyBorder="1" applyAlignment="1">
      <alignment horizontal="center" vertical="center"/>
    </xf>
    <xf numFmtId="3" fontId="50" fillId="16" borderId="298" xfId="1" applyNumberFormat="1" applyFont="1" applyFill="1" applyBorder="1" applyAlignment="1">
      <alignment horizontal="center" vertical="center"/>
    </xf>
    <xf numFmtId="3" fontId="169" fillId="13" borderId="298" xfId="1" applyNumberFormat="1" applyFont="1" applyFill="1" applyBorder="1" applyAlignment="1">
      <alignment horizontal="center" vertical="center"/>
    </xf>
    <xf numFmtId="3" fontId="50" fillId="22" borderId="19" xfId="1" applyNumberFormat="1" applyFont="1" applyFill="1" applyBorder="1" applyAlignment="1">
      <alignment horizontal="center" vertical="center"/>
    </xf>
    <xf numFmtId="3" fontId="169" fillId="19" borderId="111" xfId="1" applyNumberFormat="1" applyFont="1" applyFill="1" applyBorder="1" applyAlignment="1">
      <alignment horizontal="center" vertical="center"/>
    </xf>
    <xf numFmtId="3" fontId="169" fillId="22" borderId="111" xfId="1" applyNumberFormat="1" applyFont="1" applyFill="1" applyBorder="1" applyAlignment="1">
      <alignment horizontal="center" vertical="center"/>
    </xf>
    <xf numFmtId="3" fontId="169" fillId="19" borderId="298" xfId="1" applyNumberFormat="1" applyFont="1" applyFill="1" applyBorder="1" applyAlignment="1">
      <alignment horizontal="center" vertical="center"/>
    </xf>
    <xf numFmtId="3" fontId="169" fillId="19" borderId="19" xfId="1" applyNumberFormat="1" applyFont="1" applyFill="1" applyBorder="1" applyAlignment="1">
      <alignment horizontal="center" vertical="center"/>
    </xf>
    <xf numFmtId="3" fontId="50" fillId="42" borderId="114" xfId="1" applyNumberFormat="1" applyFont="1" applyFill="1" applyBorder="1" applyAlignment="1">
      <alignment horizontal="center" vertical="center"/>
    </xf>
    <xf numFmtId="3" fontId="169" fillId="26" borderId="111" xfId="1" applyNumberFormat="1" applyFont="1" applyFill="1" applyBorder="1" applyAlignment="1">
      <alignment horizontal="center" vertical="center"/>
    </xf>
    <xf numFmtId="3" fontId="169" fillId="22" borderId="301" xfId="1" applyNumberFormat="1" applyFont="1" applyFill="1" applyBorder="1" applyAlignment="1">
      <alignment horizontal="center" vertical="center"/>
    </xf>
    <xf numFmtId="3" fontId="169" fillId="19" borderId="114" xfId="1" applyNumberFormat="1" applyFont="1" applyFill="1" applyBorder="1" applyAlignment="1">
      <alignment horizontal="center" vertical="center"/>
    </xf>
    <xf numFmtId="3" fontId="50" fillId="19" borderId="111" xfId="1" applyNumberFormat="1" applyFont="1" applyFill="1" applyBorder="1" applyAlignment="1">
      <alignment horizontal="center" vertical="center"/>
    </xf>
    <xf numFmtId="3" fontId="169" fillId="19" borderId="301" xfId="1" applyNumberFormat="1" applyFont="1" applyFill="1" applyBorder="1" applyAlignment="1">
      <alignment horizontal="center" vertical="center"/>
    </xf>
    <xf numFmtId="3" fontId="50" fillId="19" borderId="114" xfId="1" applyNumberFormat="1" applyFont="1" applyFill="1" applyBorder="1" applyAlignment="1">
      <alignment horizontal="center" vertical="center"/>
    </xf>
    <xf numFmtId="3" fontId="50" fillId="22" borderId="111" xfId="1" applyNumberFormat="1" applyFont="1" applyFill="1" applyBorder="1" applyAlignment="1">
      <alignment horizontal="center" vertical="center"/>
    </xf>
    <xf numFmtId="3" fontId="50" fillId="22" borderId="301" xfId="1" applyNumberFormat="1" applyFont="1" applyFill="1" applyBorder="1" applyAlignment="1">
      <alignment horizontal="center" vertical="center"/>
    </xf>
    <xf numFmtId="3" fontId="169" fillId="21" borderId="301" xfId="1" applyNumberFormat="1" applyFont="1" applyFill="1" applyBorder="1" applyAlignment="1">
      <alignment horizontal="center" vertical="center"/>
    </xf>
    <xf numFmtId="3" fontId="169" fillId="22" borderId="114" xfId="1" applyNumberFormat="1" applyFont="1" applyFill="1" applyBorder="1" applyAlignment="1">
      <alignment horizontal="center" vertical="center"/>
    </xf>
    <xf numFmtId="3" fontId="50" fillId="23" borderId="111" xfId="1" applyNumberFormat="1" applyFont="1" applyFill="1" applyBorder="1" applyAlignment="1">
      <alignment horizontal="center" vertical="center"/>
    </xf>
    <xf numFmtId="3" fontId="50" fillId="26" borderId="111" xfId="1" applyNumberFormat="1" applyFont="1" applyFill="1" applyBorder="1" applyAlignment="1">
      <alignment horizontal="center" vertical="center"/>
    </xf>
    <xf numFmtId="3" fontId="50" fillId="22" borderId="114" xfId="1" applyNumberFormat="1" applyFont="1" applyFill="1" applyBorder="1" applyAlignment="1">
      <alignment horizontal="center" vertical="center"/>
    </xf>
    <xf numFmtId="3" fontId="50" fillId="23" borderId="114" xfId="1" applyNumberFormat="1" applyFont="1" applyFill="1" applyBorder="1" applyAlignment="1">
      <alignment horizontal="center" vertical="center"/>
    </xf>
    <xf numFmtId="3" fontId="169" fillId="49" borderId="111" xfId="1" applyNumberFormat="1" applyFont="1" applyFill="1" applyBorder="1" applyAlignment="1">
      <alignment horizontal="center" vertical="center"/>
    </xf>
    <xf numFmtId="3" fontId="169" fillId="23" borderId="19" xfId="1" applyNumberFormat="1" applyFont="1" applyFill="1" applyBorder="1" applyAlignment="1">
      <alignment horizontal="center" vertical="center"/>
    </xf>
    <xf numFmtId="3" fontId="169" fillId="22" borderId="298" xfId="1" applyNumberFormat="1" applyFont="1" applyFill="1" applyBorder="1" applyAlignment="1">
      <alignment horizontal="center" vertical="center"/>
    </xf>
    <xf numFmtId="3" fontId="50" fillId="19" borderId="19" xfId="1" applyNumberFormat="1" applyFont="1" applyFill="1" applyBorder="1" applyAlignment="1">
      <alignment horizontal="center" vertical="center"/>
    </xf>
    <xf numFmtId="3" fontId="50" fillId="22" borderId="298" xfId="1" applyNumberFormat="1" applyFont="1" applyFill="1" applyBorder="1" applyAlignment="1">
      <alignment horizontal="center" vertical="center"/>
    </xf>
    <xf numFmtId="3" fontId="169" fillId="22" borderId="19" xfId="1" applyNumberFormat="1" applyFont="1" applyFill="1" applyBorder="1" applyAlignment="1">
      <alignment horizontal="center" vertical="center"/>
    </xf>
    <xf numFmtId="3" fontId="169" fillId="49" borderId="19" xfId="1" applyNumberFormat="1" applyFont="1" applyFill="1" applyBorder="1" applyAlignment="1">
      <alignment horizontal="center" vertical="center"/>
    </xf>
    <xf numFmtId="3" fontId="50" fillId="42" borderId="111" xfId="1" applyNumberFormat="1" applyFont="1" applyFill="1" applyBorder="1" applyAlignment="1">
      <alignment horizontal="center" vertical="center"/>
    </xf>
    <xf numFmtId="0" fontId="162" fillId="0" borderId="34" xfId="1" applyFont="1" applyFill="1" applyBorder="1" applyAlignment="1">
      <alignment horizontal="center" vertical="center"/>
    </xf>
    <xf numFmtId="0" fontId="162" fillId="8" borderId="27" xfId="1" applyFont="1" applyFill="1" applyBorder="1" applyAlignment="1">
      <alignment horizontal="center" vertical="center"/>
    </xf>
    <xf numFmtId="0" fontId="113" fillId="10" borderId="276" xfId="1" applyFont="1" applyFill="1" applyBorder="1" applyAlignment="1">
      <alignment horizontal="center" vertical="center"/>
    </xf>
    <xf numFmtId="0" fontId="113" fillId="33" borderId="27" xfId="1" applyFont="1" applyFill="1" applyBorder="1" applyAlignment="1">
      <alignment horizontal="center" vertical="center"/>
    </xf>
    <xf numFmtId="0" fontId="162" fillId="33" borderId="276" xfId="1" applyFont="1" applyFill="1" applyBorder="1" applyAlignment="1">
      <alignment horizontal="center" vertical="center"/>
    </xf>
    <xf numFmtId="0" fontId="162" fillId="36" borderId="27" xfId="1" applyFont="1" applyFill="1" applyBorder="1" applyAlignment="1">
      <alignment horizontal="center" vertical="center"/>
    </xf>
    <xf numFmtId="0" fontId="113" fillId="17" borderId="17" xfId="1" applyFont="1" applyFill="1" applyBorder="1" applyAlignment="1">
      <alignment horizontal="center" vertical="center"/>
    </xf>
    <xf numFmtId="0" fontId="162" fillId="13" borderId="30" xfId="1" applyFont="1" applyFill="1" applyBorder="1" applyAlignment="1">
      <alignment horizontal="center" vertical="center"/>
    </xf>
    <xf numFmtId="0" fontId="162" fillId="11" borderId="30" xfId="1" applyFont="1" applyFill="1" applyBorder="1" applyAlignment="1">
      <alignment horizontal="center" vertical="center"/>
    </xf>
    <xf numFmtId="0" fontId="162" fillId="15" borderId="89" xfId="1" applyFont="1" applyFill="1" applyBorder="1" applyAlignment="1">
      <alignment horizontal="center" vertical="center"/>
    </xf>
    <xf numFmtId="0" fontId="113" fillId="37" borderId="27" xfId="1" applyFont="1" applyFill="1" applyBorder="1" applyAlignment="1">
      <alignment horizontal="center" vertical="center"/>
    </xf>
    <xf numFmtId="0" fontId="162" fillId="13" borderId="276" xfId="1" applyFont="1" applyFill="1" applyBorder="1" applyAlignment="1">
      <alignment horizontal="center" vertical="center"/>
    </xf>
    <xf numFmtId="0" fontId="162" fillId="26" borderId="276" xfId="1" applyFont="1" applyFill="1" applyBorder="1" applyAlignment="1">
      <alignment horizontal="center" vertical="center"/>
    </xf>
    <xf numFmtId="0" fontId="162" fillId="3" borderId="27" xfId="1" applyFont="1" applyFill="1" applyBorder="1" applyAlignment="1">
      <alignment horizontal="center" vertical="center"/>
    </xf>
    <xf numFmtId="0" fontId="162" fillId="19" borderId="30" xfId="1" applyFont="1" applyFill="1" applyBorder="1" applyAlignment="1">
      <alignment horizontal="center" vertical="center"/>
    </xf>
    <xf numFmtId="0" fontId="162" fillId="12" borderId="23" xfId="1" applyFont="1" applyFill="1" applyBorder="1" applyAlignment="1">
      <alignment horizontal="center" vertical="center"/>
    </xf>
    <xf numFmtId="0" fontId="113" fillId="18" borderId="17" xfId="1" applyFont="1" applyFill="1" applyBorder="1" applyAlignment="1">
      <alignment horizontal="center" vertical="center"/>
    </xf>
    <xf numFmtId="0" fontId="162" fillId="26" borderId="23" xfId="1" applyFont="1" applyFill="1" applyBorder="1" applyAlignment="1">
      <alignment horizontal="center" vertical="center"/>
    </xf>
    <xf numFmtId="0" fontId="113" fillId="42" borderId="27" xfId="1" applyFont="1" applyFill="1" applyBorder="1" applyAlignment="1">
      <alignment horizontal="center" vertical="center"/>
    </xf>
    <xf numFmtId="0" fontId="109" fillId="0" borderId="0" xfId="15" applyFont="1" applyFill="1" applyBorder="1" applyAlignment="1">
      <alignment horizontal="left" vertical="center"/>
    </xf>
    <xf numFmtId="0" fontId="105" fillId="4" borderId="4" xfId="1" applyFont="1" applyFill="1" applyBorder="1" applyAlignment="1">
      <alignment horizontal="left" vertical="center"/>
    </xf>
    <xf numFmtId="0" fontId="23" fillId="10" borderId="277" xfId="15" applyFont="1" applyFill="1" applyBorder="1" applyAlignment="1">
      <alignment horizontal="left" vertical="center"/>
    </xf>
    <xf numFmtId="0" fontId="23" fillId="34" borderId="4" xfId="15" applyFont="1" applyFill="1" applyBorder="1" applyAlignment="1">
      <alignment horizontal="left" vertical="center"/>
    </xf>
    <xf numFmtId="0" fontId="53" fillId="33" borderId="4" xfId="1" applyFont="1" applyFill="1" applyBorder="1" applyAlignment="1">
      <alignment horizontal="left" vertical="center"/>
    </xf>
    <xf numFmtId="0" fontId="23" fillId="17" borderId="0" xfId="15" applyFont="1" applyFill="1" applyBorder="1" applyAlignment="1">
      <alignment horizontal="left" vertical="center"/>
    </xf>
    <xf numFmtId="0" fontId="53" fillId="12" borderId="87" xfId="1" applyFont="1" applyFill="1" applyBorder="1" applyAlignment="1">
      <alignment horizontal="left" vertical="center"/>
    </xf>
    <xf numFmtId="0" fontId="23" fillId="11" borderId="87" xfId="15" applyFont="1" applyFill="1" applyBorder="1" applyAlignment="1">
      <alignment horizontal="left" vertical="center"/>
    </xf>
    <xf numFmtId="0" fontId="23" fillId="33" borderId="277" xfId="15" applyFont="1" applyFill="1" applyBorder="1" applyAlignment="1">
      <alignment horizontal="left" vertical="center"/>
    </xf>
    <xf numFmtId="0" fontId="53" fillId="15" borderId="90" xfId="1" applyFont="1" applyFill="1" applyBorder="1" applyAlignment="1">
      <alignment horizontal="left" vertical="center"/>
    </xf>
    <xf numFmtId="0" fontId="23" fillId="13" borderId="277" xfId="15" applyFont="1" applyFill="1" applyBorder="1" applyAlignment="1">
      <alignment horizontal="left" vertical="center"/>
    </xf>
    <xf numFmtId="0" fontId="23" fillId="14" borderId="4" xfId="15" applyFont="1" applyFill="1" applyBorder="1" applyAlignment="1">
      <alignment horizontal="left" vertical="center"/>
    </xf>
    <xf numFmtId="0" fontId="23" fillId="16" borderId="277" xfId="15" applyFont="1" applyFill="1" applyBorder="1" applyAlignment="1" applyProtection="1">
      <alignment horizontal="left" vertical="center"/>
      <protection locked="0"/>
    </xf>
    <xf numFmtId="0" fontId="23" fillId="22" borderId="277" xfId="15" applyFont="1" applyFill="1" applyBorder="1" applyAlignment="1">
      <alignment horizontal="left" vertical="center"/>
    </xf>
    <xf numFmtId="0" fontId="127" fillId="25" borderId="277" xfId="15" applyFont="1" applyFill="1" applyBorder="1" applyAlignment="1">
      <alignment horizontal="left" vertical="center"/>
    </xf>
    <xf numFmtId="0" fontId="53" fillId="19" borderId="277" xfId="1" applyFont="1" applyFill="1" applyBorder="1" applyAlignment="1">
      <alignment horizontal="left" vertical="center"/>
    </xf>
    <xf numFmtId="0" fontId="53" fillId="15" borderId="4" xfId="1" applyFont="1" applyFill="1" applyBorder="1" applyAlignment="1">
      <alignment horizontal="left" vertical="center"/>
    </xf>
    <xf numFmtId="0" fontId="143" fillId="4" borderId="277" xfId="15" applyFont="1" applyFill="1" applyBorder="1" applyAlignment="1">
      <alignment horizontal="left" vertical="center"/>
    </xf>
    <xf numFmtId="0" fontId="109" fillId="14" borderId="277" xfId="15" applyFont="1" applyFill="1" applyBorder="1" applyAlignment="1">
      <alignment horizontal="left" vertical="center"/>
    </xf>
    <xf numFmtId="0" fontId="107" fillId="3" borderId="8" xfId="1" applyFont="1" applyFill="1" applyBorder="1" applyAlignment="1">
      <alignment horizontal="left" vertical="center"/>
    </xf>
    <xf numFmtId="0" fontId="142" fillId="51" borderId="0" xfId="1" applyFont="1" applyFill="1" applyBorder="1" applyAlignment="1">
      <alignment horizontal="left" vertical="center"/>
    </xf>
    <xf numFmtId="0" fontId="127" fillId="24" borderId="8" xfId="15" applyFont="1" applyFill="1" applyBorder="1" applyAlignment="1">
      <alignment horizontal="left" vertical="center"/>
    </xf>
    <xf numFmtId="0" fontId="107" fillId="22" borderId="8" xfId="1" applyFont="1" applyFill="1" applyBorder="1" applyAlignment="1">
      <alignment horizontal="left" vertical="center"/>
    </xf>
    <xf numFmtId="0" fontId="23" fillId="24" borderId="4" xfId="15" applyFont="1" applyFill="1" applyBorder="1" applyAlignment="1">
      <alignment horizontal="left" vertical="center"/>
    </xf>
    <xf numFmtId="0" fontId="23" fillId="38" borderId="277" xfId="15" applyFont="1" applyFill="1" applyBorder="1" applyAlignment="1">
      <alignment horizontal="left" vertical="center"/>
    </xf>
    <xf numFmtId="0" fontId="53" fillId="22" borderId="4" xfId="1" applyFont="1" applyFill="1" applyBorder="1" applyAlignment="1">
      <alignment horizontal="left" vertical="center"/>
    </xf>
    <xf numFmtId="0" fontId="23" fillId="52" borderId="4" xfId="15" applyFont="1" applyFill="1" applyBorder="1" applyAlignment="1">
      <alignment horizontal="left" vertical="center"/>
    </xf>
    <xf numFmtId="0" fontId="115" fillId="0" borderId="19" xfId="1" applyFont="1" applyFill="1" applyBorder="1" applyAlignment="1">
      <alignment horizontal="center" vertical="center"/>
    </xf>
    <xf numFmtId="0" fontId="116" fillId="9" borderId="273" xfId="1" applyFont="1" applyFill="1" applyBorder="1" applyAlignment="1">
      <alignment horizontal="center"/>
    </xf>
    <xf numFmtId="0" fontId="116" fillId="6" borderId="111" xfId="1" applyFont="1" applyFill="1" applyBorder="1" applyAlignment="1">
      <alignment horizontal="center"/>
    </xf>
    <xf numFmtId="0" fontId="115" fillId="8" borderId="4" xfId="1" applyFont="1" applyFill="1" applyBorder="1" applyAlignment="1">
      <alignment horizontal="center"/>
    </xf>
    <xf numFmtId="0" fontId="115" fillId="6" borderId="278" xfId="1" applyFont="1" applyFill="1" applyBorder="1" applyAlignment="1">
      <alignment horizontal="center" vertical="center"/>
    </xf>
    <xf numFmtId="0" fontId="115" fillId="6" borderId="4" xfId="1" applyFont="1" applyFill="1" applyBorder="1" applyAlignment="1">
      <alignment horizontal="center" vertical="center"/>
    </xf>
    <xf numFmtId="0" fontId="115" fillId="10" borderId="0" xfId="1" applyFont="1" applyFill="1" applyBorder="1" applyAlignment="1">
      <alignment horizontal="center"/>
    </xf>
    <xf numFmtId="0" fontId="115" fillId="10" borderId="277" xfId="1" applyFont="1" applyFill="1" applyBorder="1" applyAlignment="1">
      <alignment horizontal="center"/>
    </xf>
    <xf numFmtId="0" fontId="115" fillId="6" borderId="271" xfId="1" applyFont="1" applyFill="1" applyBorder="1" applyAlignment="1">
      <alignment horizontal="center"/>
    </xf>
    <xf numFmtId="0" fontId="115" fillId="35" borderId="277" xfId="1" applyFont="1" applyFill="1" applyBorder="1" applyAlignment="1">
      <alignment horizontal="center" vertical="center"/>
    </xf>
    <xf numFmtId="0" fontId="115" fillId="7" borderId="111" xfId="1" applyFont="1" applyFill="1" applyBorder="1" applyAlignment="1">
      <alignment horizontal="center"/>
    </xf>
    <xf numFmtId="0" fontId="115" fillId="8" borderId="271" xfId="1" applyFont="1" applyFill="1" applyBorder="1" applyAlignment="1">
      <alignment horizontal="center"/>
    </xf>
    <xf numFmtId="0" fontId="116" fillId="33" borderId="280" xfId="1" applyFont="1" applyFill="1" applyBorder="1" applyAlignment="1">
      <alignment horizontal="center"/>
    </xf>
    <xf numFmtId="0" fontId="116" fillId="15" borderId="91" xfId="1" applyFont="1" applyFill="1" applyBorder="1" applyAlignment="1">
      <alignment horizontal="center"/>
    </xf>
    <xf numFmtId="0" fontId="115" fillId="34" borderId="280" xfId="1" applyFont="1" applyFill="1" applyBorder="1" applyAlignment="1">
      <alignment horizontal="center"/>
    </xf>
    <xf numFmtId="0" fontId="115" fillId="33" borderId="280" xfId="1" applyFont="1" applyFill="1" applyBorder="1" applyAlignment="1">
      <alignment horizontal="center"/>
    </xf>
    <xf numFmtId="0" fontId="115" fillId="37" borderId="0" xfId="1" applyFont="1" applyFill="1" applyBorder="1" applyAlignment="1">
      <alignment horizontal="center"/>
    </xf>
    <xf numFmtId="0" fontId="115" fillId="33" borderId="271" xfId="1" applyFont="1" applyFill="1" applyBorder="1" applyAlignment="1">
      <alignment horizontal="center"/>
    </xf>
    <xf numFmtId="0" fontId="115" fillId="12" borderId="111" xfId="1" applyFont="1" applyFill="1" applyBorder="1" applyAlignment="1">
      <alignment horizontal="center"/>
    </xf>
    <xf numFmtId="0" fontId="115" fillId="14" borderId="114" xfId="1" applyFont="1" applyFill="1" applyBorder="1" applyAlignment="1">
      <alignment horizontal="center"/>
    </xf>
    <xf numFmtId="0" fontId="115" fillId="20" borderId="2" xfId="1" applyFont="1" applyFill="1" applyBorder="1" applyAlignment="1">
      <alignment horizontal="center" vertical="center"/>
    </xf>
    <xf numFmtId="0" fontId="116" fillId="22" borderId="280" xfId="1" applyFont="1" applyFill="1" applyBorder="1" applyAlignment="1">
      <alignment horizontal="center"/>
    </xf>
    <xf numFmtId="0" fontId="53" fillId="22" borderId="88" xfId="1" applyFont="1" applyFill="1" applyBorder="1" applyAlignment="1">
      <alignment horizontal="center"/>
    </xf>
    <xf numFmtId="0" fontId="115" fillId="17" borderId="114" xfId="1" applyFont="1" applyFill="1" applyBorder="1" applyAlignment="1">
      <alignment horizontal="center"/>
    </xf>
    <xf numFmtId="0" fontId="115" fillId="42" borderId="111" xfId="1" applyFont="1" applyFill="1" applyBorder="1" applyAlignment="1">
      <alignment horizontal="center"/>
    </xf>
    <xf numFmtId="0" fontId="115" fillId="23" borderId="24" xfId="1" applyFont="1" applyFill="1" applyBorder="1" applyAlignment="1">
      <alignment horizontal="center"/>
    </xf>
    <xf numFmtId="0" fontId="115" fillId="21" borderId="24" xfId="1" applyFont="1" applyFill="1" applyBorder="1" applyAlignment="1">
      <alignment horizontal="center"/>
    </xf>
    <xf numFmtId="0" fontId="115" fillId="42" borderId="114" xfId="1" applyFont="1" applyFill="1" applyBorder="1" applyAlignment="1">
      <alignment horizontal="center"/>
    </xf>
    <xf numFmtId="3" fontId="43" fillId="33" borderId="4" xfId="1" applyNumberFormat="1" applyFont="1" applyFill="1" applyBorder="1" applyAlignment="1">
      <alignment horizontal="center" vertical="center"/>
    </xf>
    <xf numFmtId="3" fontId="43" fillId="17" borderId="0" xfId="1" applyNumberFormat="1" applyFont="1" applyFill="1" applyBorder="1" applyAlignment="1">
      <alignment horizontal="center" vertical="center"/>
    </xf>
    <xf numFmtId="3" fontId="43" fillId="11" borderId="297" xfId="1" applyNumberFormat="1" applyFont="1" applyFill="1" applyBorder="1" applyAlignment="1">
      <alignment horizontal="center" vertical="center"/>
    </xf>
    <xf numFmtId="3" fontId="48" fillId="13" borderId="297" xfId="1" applyNumberFormat="1" applyFont="1" applyFill="1" applyBorder="1" applyAlignment="1">
      <alignment horizontal="center" vertical="center"/>
    </xf>
    <xf numFmtId="3" fontId="43" fillId="20" borderId="0" xfId="1" applyNumberFormat="1" applyFont="1" applyFill="1" applyBorder="1" applyAlignment="1">
      <alignment horizontal="center" vertical="center"/>
    </xf>
    <xf numFmtId="3" fontId="43" fillId="15" borderId="4" xfId="1" applyNumberFormat="1" applyFont="1" applyFill="1" applyBorder="1" applyAlignment="1">
      <alignment horizontal="center" vertical="center"/>
    </xf>
    <xf numFmtId="3" fontId="43" fillId="22" borderId="270" xfId="1" applyNumberFormat="1" applyFont="1" applyFill="1" applyBorder="1" applyAlignment="1">
      <alignment horizontal="center" vertical="center"/>
    </xf>
    <xf numFmtId="3" fontId="43" fillId="42" borderId="4" xfId="1" applyNumberFormat="1" applyFont="1" applyFill="1" applyBorder="1" applyAlignment="1">
      <alignment horizontal="center" vertical="center"/>
    </xf>
    <xf numFmtId="3" fontId="50" fillId="6" borderId="300" xfId="1" applyNumberFormat="1" applyFont="1" applyFill="1" applyBorder="1" applyAlignment="1">
      <alignment horizontal="center" vertical="center"/>
    </xf>
    <xf numFmtId="3" fontId="50" fillId="8" borderId="32" xfId="1" applyNumberFormat="1" applyFont="1" applyFill="1" applyBorder="1" applyAlignment="1">
      <alignment horizontal="center" vertical="center"/>
    </xf>
    <xf numFmtId="3" fontId="169" fillId="10" borderId="299" xfId="1" applyNumberFormat="1" applyFont="1" applyFill="1" applyBorder="1" applyAlignment="1">
      <alignment horizontal="center" vertical="center"/>
    </xf>
    <xf numFmtId="3" fontId="169" fillId="35" borderId="271" xfId="1" applyNumberFormat="1" applyFont="1" applyFill="1" applyBorder="1" applyAlignment="1">
      <alignment horizontal="center" vertical="center"/>
    </xf>
    <xf numFmtId="3" fontId="169" fillId="33" borderId="19" xfId="1" applyNumberFormat="1" applyFont="1" applyFill="1" applyBorder="1" applyAlignment="1">
      <alignment horizontal="center" vertical="center"/>
    </xf>
    <xf numFmtId="3" fontId="169" fillId="17" borderId="111" xfId="1" applyNumberFormat="1" applyFont="1" applyFill="1" applyBorder="1" applyAlignment="1">
      <alignment horizontal="center" vertical="center"/>
    </xf>
    <xf numFmtId="3" fontId="169" fillId="12" borderId="301" xfId="1" applyNumberFormat="1" applyFont="1" applyFill="1" applyBorder="1" applyAlignment="1">
      <alignment horizontal="center" vertical="center"/>
    </xf>
    <xf numFmtId="3" fontId="50" fillId="11" borderId="301" xfId="1" applyNumberFormat="1" applyFont="1" applyFill="1" applyBorder="1" applyAlignment="1">
      <alignment horizontal="center" vertical="center"/>
    </xf>
    <xf numFmtId="3" fontId="169" fillId="33" borderId="298" xfId="1" applyNumberFormat="1" applyFont="1" applyFill="1" applyBorder="1" applyAlignment="1">
      <alignment horizontal="center" vertical="center"/>
    </xf>
    <xf numFmtId="3" fontId="169" fillId="37" borderId="32" xfId="1" applyNumberFormat="1" applyFont="1" applyFill="1" applyBorder="1" applyAlignment="1">
      <alignment horizontal="center" vertical="center"/>
    </xf>
    <xf numFmtId="3" fontId="169" fillId="15" borderId="298" xfId="1" applyNumberFormat="1" applyFont="1" applyFill="1" applyBorder="1" applyAlignment="1">
      <alignment horizontal="center" vertical="center"/>
    </xf>
    <xf numFmtId="3" fontId="50" fillId="14" borderId="111" xfId="1" applyNumberFormat="1" applyFont="1" applyFill="1" applyBorder="1" applyAlignment="1">
      <alignment horizontal="center" vertical="center"/>
    </xf>
    <xf numFmtId="3" fontId="50" fillId="20" borderId="111" xfId="1" applyNumberFormat="1" applyFont="1" applyFill="1" applyBorder="1" applyAlignment="1">
      <alignment horizontal="center" vertical="center"/>
    </xf>
    <xf numFmtId="3" fontId="50" fillId="19" borderId="301" xfId="1" applyNumberFormat="1" applyFont="1" applyFill="1" applyBorder="1" applyAlignment="1">
      <alignment horizontal="center" vertical="center"/>
    </xf>
    <xf numFmtId="3" fontId="169" fillId="49" borderId="301" xfId="1" applyNumberFormat="1" applyFont="1" applyFill="1" applyBorder="1" applyAlignment="1">
      <alignment horizontal="center" vertical="center"/>
    </xf>
    <xf numFmtId="3" fontId="50" fillId="16" borderId="19" xfId="1" applyNumberFormat="1" applyFont="1" applyFill="1" applyBorder="1" applyAlignment="1">
      <alignment horizontal="center" vertical="center"/>
    </xf>
    <xf numFmtId="3" fontId="169" fillId="23" borderId="111" xfId="1" applyNumberFormat="1" applyFont="1" applyFill="1" applyBorder="1" applyAlignment="1">
      <alignment horizontal="center" vertical="center"/>
    </xf>
    <xf numFmtId="3" fontId="50" fillId="26" borderId="298" xfId="1" applyNumberFormat="1" applyFont="1" applyFill="1" applyBorder="1" applyAlignment="1">
      <alignment horizontal="center" vertical="center"/>
    </xf>
    <xf numFmtId="3" fontId="50" fillId="19" borderId="298" xfId="1" applyNumberFormat="1" applyFont="1" applyFill="1" applyBorder="1" applyAlignment="1">
      <alignment horizontal="center" vertical="center"/>
    </xf>
    <xf numFmtId="3" fontId="50" fillId="42" borderId="19" xfId="1" applyNumberFormat="1" applyFont="1" applyFill="1" applyBorder="1" applyAlignment="1">
      <alignment horizontal="center" vertical="center"/>
    </xf>
    <xf numFmtId="3" fontId="169" fillId="8" borderId="274" xfId="1" applyNumberFormat="1" applyFont="1" applyFill="1" applyBorder="1" applyAlignment="1">
      <alignment horizontal="center" vertical="center"/>
    </xf>
    <xf numFmtId="3" fontId="169" fillId="7" borderId="29" xfId="1" applyNumberFormat="1" applyFont="1" applyFill="1" applyBorder="1" applyAlignment="1">
      <alignment horizontal="center" vertical="center"/>
    </xf>
    <xf numFmtId="3" fontId="50" fillId="39" borderId="272" xfId="1" applyNumberFormat="1" applyFont="1" applyFill="1" applyBorder="1" applyAlignment="1">
      <alignment horizontal="center" vertical="center"/>
    </xf>
    <xf numFmtId="3" fontId="169" fillId="10" borderId="291" xfId="1" applyNumberFormat="1" applyFont="1" applyFill="1" applyBorder="1" applyAlignment="1">
      <alignment horizontal="center" vertical="center"/>
    </xf>
    <xf numFmtId="3" fontId="169" fillId="34" borderId="272" xfId="1" applyNumberFormat="1" applyFont="1" applyFill="1" applyBorder="1" applyAlignment="1">
      <alignment horizontal="center" vertical="center"/>
    </xf>
    <xf numFmtId="3" fontId="169" fillId="33" borderId="193" xfId="1" applyNumberFormat="1" applyFont="1" applyFill="1" applyBorder="1" applyAlignment="1">
      <alignment horizontal="center" vertical="center"/>
    </xf>
    <xf numFmtId="3" fontId="169" fillId="12" borderId="26" xfId="1" applyNumberFormat="1" applyFont="1" applyFill="1" applyBorder="1" applyAlignment="1">
      <alignment horizontal="center" vertical="center"/>
    </xf>
    <xf numFmtId="3" fontId="169" fillId="17" borderId="73" xfId="1" applyNumberFormat="1" applyFont="1" applyFill="1" applyBorder="1" applyAlignment="1">
      <alignment horizontal="center" vertical="center"/>
    </xf>
    <xf numFmtId="3" fontId="169" fillId="11" borderId="26" xfId="1" applyNumberFormat="1" applyFont="1" applyFill="1" applyBorder="1" applyAlignment="1">
      <alignment horizontal="center" vertical="center"/>
    </xf>
    <xf numFmtId="3" fontId="169" fillId="33" borderId="275" xfId="1" applyNumberFormat="1" applyFont="1" applyFill="1" applyBorder="1" applyAlignment="1">
      <alignment horizontal="center" vertical="center"/>
    </xf>
    <xf numFmtId="3" fontId="169" fillId="37" borderId="197" xfId="1" applyNumberFormat="1" applyFont="1" applyFill="1" applyBorder="1" applyAlignment="1">
      <alignment horizontal="center" vertical="center"/>
    </xf>
    <xf numFmtId="3" fontId="169" fillId="15" borderId="275" xfId="1" applyNumberFormat="1" applyFont="1" applyFill="1" applyBorder="1" applyAlignment="1">
      <alignment horizontal="center" vertical="center"/>
    </xf>
    <xf numFmtId="3" fontId="125" fillId="22" borderId="82" xfId="1" applyNumberFormat="1" applyFont="1" applyFill="1" applyBorder="1" applyAlignment="1">
      <alignment horizontal="center" vertical="center"/>
    </xf>
    <xf numFmtId="3" fontId="169" fillId="26" borderId="275" xfId="1" applyNumberFormat="1" applyFont="1" applyFill="1" applyBorder="1" applyAlignment="1">
      <alignment horizontal="center" vertical="center"/>
    </xf>
    <xf numFmtId="3" fontId="169" fillId="42" borderId="193" xfId="1" applyNumberFormat="1" applyFont="1" applyFill="1" applyBorder="1" applyAlignment="1">
      <alignment horizontal="center" vertical="center"/>
    </xf>
    <xf numFmtId="3" fontId="50" fillId="0" borderId="8" xfId="1" applyNumberFormat="1" applyFont="1" applyFill="1" applyBorder="1" applyAlignment="1">
      <alignment horizontal="center" vertical="center"/>
    </xf>
    <xf numFmtId="3" fontId="170" fillId="0" borderId="24" xfId="1" applyNumberFormat="1" applyFont="1" applyFill="1" applyBorder="1" applyAlignment="1">
      <alignment horizontal="center" vertical="center"/>
    </xf>
    <xf numFmtId="3" fontId="74" fillId="6" borderId="19" xfId="1" applyNumberFormat="1" applyFont="1" applyFill="1" applyBorder="1" applyAlignment="1">
      <alignment horizontal="center" vertical="center"/>
    </xf>
    <xf numFmtId="3" fontId="50" fillId="35" borderId="24" xfId="1" applyNumberFormat="1" applyFont="1" applyFill="1" applyBorder="1" applyAlignment="1">
      <alignment horizontal="center" vertical="center"/>
    </xf>
    <xf numFmtId="3" fontId="74" fillId="0" borderId="88" xfId="1" applyNumberFormat="1" applyFont="1" applyFill="1" applyBorder="1" applyAlignment="1" applyProtection="1">
      <alignment horizontal="center" vertical="center"/>
      <protection locked="0"/>
    </xf>
    <xf numFmtId="3" fontId="170" fillId="0" borderId="82" xfId="1" applyNumberFormat="1" applyFont="1" applyFill="1" applyBorder="1" applyAlignment="1">
      <alignment horizontal="center" vertical="center"/>
    </xf>
    <xf numFmtId="3" fontId="74" fillId="6" borderId="193" xfId="1" applyNumberFormat="1" applyFont="1" applyFill="1" applyBorder="1" applyAlignment="1">
      <alignment horizontal="center" vertical="center"/>
    </xf>
    <xf numFmtId="3" fontId="170" fillId="0" borderId="26" xfId="1" applyNumberFormat="1" applyFont="1" applyFill="1" applyBorder="1" applyAlignment="1">
      <alignment horizontal="center" vertical="center"/>
    </xf>
    <xf numFmtId="3" fontId="74" fillId="0" borderId="193" xfId="1" applyNumberFormat="1" applyFont="1" applyFill="1" applyBorder="1" applyAlignment="1">
      <alignment horizontal="center" vertical="center" shrinkToFit="1"/>
    </xf>
    <xf numFmtId="3" fontId="50" fillId="6" borderId="193" xfId="1" applyNumberFormat="1" applyFont="1" applyFill="1" applyBorder="1" applyAlignment="1">
      <alignment horizontal="center" vertical="center"/>
    </xf>
    <xf numFmtId="3" fontId="170" fillId="0" borderId="83" xfId="1" applyNumberFormat="1" applyFont="1" applyFill="1" applyBorder="1" applyAlignment="1">
      <alignment horizontal="center" vertical="center"/>
    </xf>
    <xf numFmtId="3" fontId="50" fillId="6" borderId="55" xfId="1" applyNumberFormat="1" applyFont="1" applyFill="1" applyBorder="1" applyAlignment="1">
      <alignment horizontal="center" vertical="center"/>
    </xf>
    <xf numFmtId="3" fontId="2" fillId="6" borderId="275" xfId="1" applyNumberFormat="1" applyFont="1" applyFill="1" applyBorder="1" applyAlignment="1">
      <alignment horizontal="left" vertical="center"/>
    </xf>
    <xf numFmtId="3" fontId="53" fillId="10" borderId="275" xfId="1" applyNumberFormat="1" applyFont="1" applyFill="1" applyBorder="1" applyAlignment="1">
      <alignment horizontal="left" vertical="center"/>
    </xf>
    <xf numFmtId="3" fontId="53" fillId="33" borderId="193" xfId="1" applyNumberFormat="1" applyFont="1" applyFill="1" applyBorder="1" applyAlignment="1">
      <alignment horizontal="left" vertical="center"/>
    </xf>
    <xf numFmtId="3" fontId="53" fillId="36" borderId="193" xfId="1" applyNumberFormat="1" applyFont="1" applyFill="1" applyBorder="1" applyAlignment="1">
      <alignment horizontal="left" vertical="center"/>
    </xf>
    <xf numFmtId="3" fontId="2" fillId="13" borderId="82" xfId="1" applyNumberFormat="1" applyFont="1" applyFill="1" applyBorder="1" applyAlignment="1">
      <alignment horizontal="left" vertical="center"/>
    </xf>
    <xf numFmtId="3" fontId="53" fillId="17" borderId="73" xfId="1" applyNumberFormat="1" applyFont="1" applyFill="1" applyBorder="1" applyAlignment="1">
      <alignment horizontal="left" vertical="center"/>
    </xf>
    <xf numFmtId="3" fontId="53" fillId="12" borderId="26" xfId="1" applyNumberFormat="1" applyFont="1" applyFill="1" applyBorder="1" applyAlignment="1">
      <alignment horizontal="left" vertical="center"/>
    </xf>
    <xf numFmtId="3" fontId="53" fillId="11" borderId="26" xfId="1" applyNumberFormat="1" applyFont="1" applyFill="1" applyBorder="1" applyAlignment="1">
      <alignment horizontal="left" vertical="center"/>
    </xf>
    <xf numFmtId="3" fontId="2" fillId="33" borderId="275" xfId="1" applyNumberFormat="1" applyFont="1" applyFill="1" applyBorder="1" applyAlignment="1">
      <alignment horizontal="left" vertical="center"/>
    </xf>
    <xf numFmtId="3" fontId="2" fillId="22" borderId="26" xfId="1" applyNumberFormat="1" applyFont="1" applyFill="1" applyBorder="1" applyAlignment="1">
      <alignment horizontal="left" vertical="center"/>
    </xf>
    <xf numFmtId="3" fontId="53" fillId="15" borderId="193" xfId="1" applyNumberFormat="1" applyFont="1" applyFill="1" applyBorder="1" applyAlignment="1">
      <alignment horizontal="left" vertical="center"/>
    </xf>
    <xf numFmtId="3" fontId="53" fillId="42" borderId="193" xfId="1" applyNumberFormat="1" applyFont="1" applyFill="1" applyBorder="1" applyAlignment="1">
      <alignment horizontal="left" vertical="center"/>
    </xf>
    <xf numFmtId="3" fontId="2" fillId="6" borderId="193" xfId="1" applyNumberFormat="1" applyFont="1" applyFill="1" applyBorder="1" applyAlignment="1">
      <alignment horizontal="center" vertical="center"/>
    </xf>
    <xf numFmtId="3" fontId="108" fillId="6" borderId="275" xfId="1" applyNumberFormat="1" applyFont="1" applyFill="1" applyBorder="1" applyAlignment="1">
      <alignment horizontal="center" vertical="center"/>
    </xf>
    <xf numFmtId="3" fontId="53" fillId="10" borderId="275" xfId="1" applyNumberFormat="1" applyFont="1" applyFill="1" applyBorder="1" applyAlignment="1">
      <alignment horizontal="center" vertical="center"/>
    </xf>
    <xf numFmtId="3" fontId="53" fillId="34" borderId="193" xfId="1" applyNumberFormat="1" applyFont="1" applyFill="1" applyBorder="1" applyAlignment="1">
      <alignment horizontal="center" vertical="center"/>
    </xf>
    <xf numFmtId="3" fontId="53" fillId="33" borderId="193" xfId="1" applyNumberFormat="1" applyFont="1" applyFill="1" applyBorder="1" applyAlignment="1">
      <alignment horizontal="center" vertical="center"/>
    </xf>
    <xf numFmtId="3" fontId="53" fillId="36" borderId="193" xfId="1" applyNumberFormat="1" applyFont="1" applyFill="1" applyBorder="1" applyAlignment="1">
      <alignment horizontal="center" vertical="center"/>
    </xf>
    <xf numFmtId="3" fontId="53" fillId="17" borderId="73" xfId="1" applyNumberFormat="1" applyFont="1" applyFill="1" applyBorder="1" applyAlignment="1">
      <alignment horizontal="center" vertical="center"/>
    </xf>
    <xf numFmtId="3" fontId="53" fillId="12" borderId="26" xfId="1" applyNumberFormat="1" applyFont="1" applyFill="1" applyBorder="1" applyAlignment="1">
      <alignment horizontal="center" vertical="center"/>
    </xf>
    <xf numFmtId="3" fontId="108" fillId="15" borderId="26" xfId="1" applyNumberFormat="1" applyFont="1" applyFill="1" applyBorder="1" applyAlignment="1">
      <alignment horizontal="center" vertical="center"/>
    </xf>
    <xf numFmtId="3" fontId="53" fillId="11" borderId="26" xfId="1" applyNumberFormat="1" applyFont="1" applyFill="1" applyBorder="1" applyAlignment="1">
      <alignment horizontal="center" vertical="center"/>
    </xf>
    <xf numFmtId="3" fontId="2" fillId="33" borderId="275" xfId="1" applyNumberFormat="1" applyFont="1" applyFill="1" applyBorder="1" applyAlignment="1">
      <alignment horizontal="center" vertical="center"/>
    </xf>
    <xf numFmtId="3" fontId="2" fillId="33" borderId="291" xfId="1" applyNumberFormat="1" applyFont="1" applyFill="1" applyBorder="1" applyAlignment="1">
      <alignment horizontal="center" vertical="center"/>
    </xf>
    <xf numFmtId="3" fontId="53" fillId="15" borderId="193" xfId="1" applyNumberFormat="1" applyFont="1" applyFill="1" applyBorder="1" applyAlignment="1">
      <alignment horizontal="center" vertical="center"/>
    </xf>
    <xf numFmtId="3" fontId="108" fillId="19" borderId="275" xfId="1" applyNumberFormat="1" applyFont="1" applyFill="1" applyBorder="1" applyAlignment="1">
      <alignment horizontal="center" vertical="center"/>
    </xf>
    <xf numFmtId="3" fontId="53" fillId="42" borderId="193" xfId="1" applyNumberFormat="1" applyFont="1" applyFill="1" applyBorder="1" applyAlignment="1">
      <alignment horizontal="center" vertical="center"/>
    </xf>
    <xf numFmtId="0" fontId="108" fillId="10" borderId="275" xfId="1" applyFont="1" applyFill="1" applyBorder="1" applyAlignment="1">
      <alignment horizontal="center" vertical="center"/>
    </xf>
    <xf numFmtId="0" fontId="2" fillId="34" borderId="193" xfId="1" applyFont="1" applyFill="1" applyBorder="1" applyAlignment="1">
      <alignment horizontal="center" vertical="center"/>
    </xf>
    <xf numFmtId="0" fontId="2" fillId="33" borderId="193" xfId="1" applyFont="1" applyFill="1" applyBorder="1" applyAlignment="1">
      <alignment horizontal="center" vertical="center"/>
    </xf>
    <xf numFmtId="0" fontId="2" fillId="36" borderId="193" xfId="1" applyFont="1" applyFill="1" applyBorder="1" applyAlignment="1">
      <alignment horizontal="center" vertical="center"/>
    </xf>
    <xf numFmtId="0" fontId="108" fillId="16" borderId="82" xfId="1" applyFont="1" applyFill="1" applyBorder="1" applyAlignment="1">
      <alignment horizontal="center" vertical="center"/>
    </xf>
    <xf numFmtId="0" fontId="2" fillId="17" borderId="73" xfId="1" applyFont="1" applyFill="1" applyBorder="1" applyAlignment="1">
      <alignment horizontal="center" vertical="center"/>
    </xf>
    <xf numFmtId="0" fontId="2" fillId="12" borderId="26" xfId="1" applyFont="1" applyFill="1" applyBorder="1" applyAlignment="1">
      <alignment horizontal="center" vertical="center"/>
    </xf>
    <xf numFmtId="0" fontId="113" fillId="13" borderId="82" xfId="1" applyFont="1" applyFill="1" applyBorder="1" applyAlignment="1">
      <alignment horizontal="center" vertical="center"/>
    </xf>
    <xf numFmtId="0" fontId="2" fillId="11" borderId="26" xfId="1" applyFont="1" applyFill="1" applyBorder="1" applyAlignment="1">
      <alignment horizontal="center" vertical="center"/>
    </xf>
    <xf numFmtId="0" fontId="108" fillId="13" borderId="26" xfId="1" applyFont="1" applyFill="1" applyBorder="1" applyAlignment="1">
      <alignment horizontal="center" vertical="center"/>
    </xf>
    <xf numFmtId="0" fontId="108" fillId="19" borderId="275" xfId="1" applyFont="1" applyFill="1" applyBorder="1" applyAlignment="1">
      <alignment horizontal="center" vertical="center"/>
    </xf>
    <xf numFmtId="0" fontId="2" fillId="42" borderId="193" xfId="1" applyFont="1" applyFill="1" applyBorder="1" applyAlignment="1">
      <alignment horizontal="center" vertical="center"/>
    </xf>
    <xf numFmtId="174" fontId="105" fillId="6" borderId="193" xfId="1" applyNumberFormat="1" applyFont="1" applyFill="1" applyBorder="1" applyAlignment="1">
      <alignment horizontal="center" vertical="center"/>
    </xf>
    <xf numFmtId="174" fontId="53" fillId="10" borderId="275" xfId="1" applyNumberFormat="1" applyFont="1" applyFill="1" applyBorder="1" applyAlignment="1">
      <alignment horizontal="center" vertical="center"/>
    </xf>
    <xf numFmtId="174" fontId="53" fillId="34" borderId="272" xfId="1" applyNumberFormat="1" applyFont="1" applyFill="1" applyBorder="1" applyAlignment="1">
      <alignment horizontal="center" vertical="center"/>
    </xf>
    <xf numFmtId="174" fontId="53" fillId="36" borderId="193" xfId="1" applyNumberFormat="1" applyFont="1" applyFill="1" applyBorder="1" applyAlignment="1">
      <alignment horizontal="center" vertical="center"/>
    </xf>
    <xf numFmtId="174" fontId="53" fillId="17" borderId="73" xfId="1" applyNumberFormat="1" applyFont="1" applyFill="1" applyBorder="1" applyAlignment="1">
      <alignment horizontal="center" vertical="center"/>
    </xf>
    <xf numFmtId="174" fontId="53" fillId="12" borderId="26" xfId="1" applyNumberFormat="1" applyFont="1" applyFill="1" applyBorder="1" applyAlignment="1">
      <alignment horizontal="center" vertical="center"/>
    </xf>
    <xf numFmtId="174" fontId="53" fillId="11" borderId="26" xfId="1" applyNumberFormat="1" applyFont="1" applyFill="1" applyBorder="1" applyAlignment="1">
      <alignment horizontal="center" vertical="center"/>
    </xf>
    <xf numFmtId="174" fontId="2" fillId="22" borderId="26" xfId="1" applyNumberFormat="1" applyFont="1" applyFill="1" applyBorder="1" applyAlignment="1">
      <alignment horizontal="center" vertical="center"/>
    </xf>
    <xf numFmtId="174" fontId="2" fillId="15" borderId="193" xfId="1" applyNumberFormat="1" applyFont="1" applyFill="1" applyBorder="1" applyAlignment="1">
      <alignment horizontal="center" vertical="center"/>
    </xf>
    <xf numFmtId="174" fontId="105" fillId="13" borderId="275" xfId="1" applyNumberFormat="1" applyFont="1" applyFill="1" applyBorder="1" applyAlignment="1">
      <alignment horizontal="center" vertical="center"/>
    </xf>
    <xf numFmtId="174" fontId="105" fillId="49" borderId="73" xfId="1" applyNumberFormat="1" applyFont="1" applyFill="1" applyBorder="1" applyAlignment="1">
      <alignment horizontal="center" vertical="center"/>
    </xf>
    <xf numFmtId="174" fontId="2" fillId="22" borderId="193" xfId="1" applyNumberFormat="1" applyFont="1" applyFill="1" applyBorder="1" applyAlignment="1">
      <alignment horizontal="center" vertical="center"/>
    </xf>
    <xf numFmtId="174" fontId="53" fillId="42" borderId="193" xfId="1" applyNumberFormat="1" applyFont="1" applyFill="1" applyBorder="1" applyAlignment="1">
      <alignment horizontal="center" vertical="center"/>
    </xf>
    <xf numFmtId="14" fontId="53" fillId="10" borderId="275" xfId="1" applyNumberFormat="1" applyFont="1" applyFill="1" applyBorder="1" applyAlignment="1">
      <alignment horizontal="center" vertical="center"/>
    </xf>
    <xf numFmtId="14" fontId="53" fillId="33" borderId="193" xfId="1" applyNumberFormat="1" applyFont="1" applyFill="1" applyBorder="1" applyAlignment="1">
      <alignment horizontal="center" vertical="center"/>
    </xf>
    <xf numFmtId="14" fontId="53" fillId="36" borderId="193" xfId="1" applyNumberFormat="1" applyFont="1" applyFill="1" applyBorder="1" applyAlignment="1">
      <alignment horizontal="center" vertical="center"/>
    </xf>
    <xf numFmtId="14" fontId="53" fillId="17" borderId="73" xfId="1" applyNumberFormat="1" applyFont="1" applyFill="1" applyBorder="1" applyAlignment="1">
      <alignment horizontal="center" vertical="center"/>
    </xf>
    <xf numFmtId="14" fontId="53" fillId="12" borderId="26" xfId="1" applyNumberFormat="1" applyFont="1" applyFill="1" applyBorder="1" applyAlignment="1">
      <alignment horizontal="center" vertical="center"/>
    </xf>
    <xf numFmtId="14" fontId="53" fillId="11" borderId="26" xfId="1" applyNumberFormat="1" applyFont="1" applyFill="1" applyBorder="1" applyAlignment="1">
      <alignment horizontal="center" vertical="center"/>
    </xf>
    <xf numFmtId="14" fontId="53" fillId="22" borderId="61" xfId="1" quotePrefix="1" applyNumberFormat="1" applyFont="1" applyFill="1" applyBorder="1" applyAlignment="1">
      <alignment horizontal="center" vertical="center"/>
    </xf>
    <xf numFmtId="14" fontId="53" fillId="19" borderId="61" xfId="1" quotePrefix="1" applyNumberFormat="1" applyFont="1" applyFill="1" applyBorder="1" applyAlignment="1">
      <alignment horizontal="center" vertical="center"/>
    </xf>
    <xf numFmtId="14" fontId="53" fillId="22" borderId="275" xfId="1" quotePrefix="1" applyNumberFormat="1" applyFont="1" applyFill="1" applyBorder="1" applyAlignment="1">
      <alignment horizontal="center" vertical="center"/>
    </xf>
    <xf numFmtId="14" fontId="53" fillId="42" borderId="193" xfId="1" applyNumberFormat="1" applyFont="1" applyFill="1" applyBorder="1" applyAlignment="1">
      <alignment horizontal="center" vertical="center"/>
    </xf>
    <xf numFmtId="0" fontId="113" fillId="33" borderId="275" xfId="1" applyFont="1" applyFill="1" applyBorder="1" applyAlignment="1">
      <alignment horizontal="center" vertical="center"/>
    </xf>
    <xf numFmtId="0" fontId="162" fillId="35" borderId="27" xfId="1" applyFont="1" applyFill="1" applyBorder="1" applyAlignment="1">
      <alignment horizontal="center" vertical="center"/>
    </xf>
    <xf numFmtId="0" fontId="116" fillId="33" borderId="19" xfId="1" applyFont="1" applyFill="1" applyBorder="1" applyAlignment="1">
      <alignment horizontal="center"/>
    </xf>
    <xf numFmtId="0" fontId="116" fillId="34" borderId="19" xfId="1" applyFont="1" applyFill="1" applyBorder="1" applyAlignment="1">
      <alignment horizontal="center"/>
    </xf>
    <xf numFmtId="3" fontId="43" fillId="34" borderId="4" xfId="1" applyNumberFormat="1" applyFont="1" applyFill="1" applyBorder="1" applyAlignment="1">
      <alignment horizontal="center" vertical="center"/>
    </xf>
    <xf numFmtId="0" fontId="127" fillId="36" borderId="0" xfId="15" applyFont="1" applyFill="1" applyBorder="1" applyAlignment="1">
      <alignment horizontal="left" vertical="center"/>
    </xf>
    <xf numFmtId="0" fontId="116" fillId="36" borderId="19" xfId="1" applyFont="1" applyFill="1" applyBorder="1" applyAlignment="1">
      <alignment horizontal="center"/>
    </xf>
    <xf numFmtId="0" fontId="2" fillId="34" borderId="0" xfId="1" applyFont="1" applyFill="1" applyBorder="1" applyAlignment="1">
      <alignment horizontal="left" vertical="center"/>
    </xf>
    <xf numFmtId="0" fontId="116" fillId="34" borderId="2" xfId="1" applyFont="1" applyFill="1" applyBorder="1" applyAlignment="1">
      <alignment horizontal="center"/>
    </xf>
    <xf numFmtId="0" fontId="53" fillId="36" borderId="8" xfId="1" applyFont="1" applyFill="1" applyBorder="1" applyAlignment="1">
      <alignment horizontal="left" vertical="center"/>
    </xf>
    <xf numFmtId="3" fontId="43" fillId="36" borderId="8" xfId="1" applyNumberFormat="1" applyFont="1" applyFill="1" applyBorder="1" applyAlignment="1">
      <alignment horizontal="center" vertical="center"/>
    </xf>
    <xf numFmtId="3" fontId="43" fillId="35" borderId="8" xfId="1" applyNumberFormat="1" applyFont="1" applyFill="1" applyBorder="1" applyAlignment="1">
      <alignment horizontal="center" vertical="center"/>
    </xf>
    <xf numFmtId="0" fontId="115" fillId="36" borderId="24" xfId="1" applyFont="1" applyFill="1" applyBorder="1" applyAlignment="1">
      <alignment horizontal="center"/>
    </xf>
    <xf numFmtId="3" fontId="169" fillId="34" borderId="19" xfId="1" applyNumberFormat="1" applyFont="1" applyFill="1" applyBorder="1" applyAlignment="1">
      <alignment horizontal="center" vertical="center"/>
    </xf>
    <xf numFmtId="3" fontId="169" fillId="34" borderId="193" xfId="1" applyNumberFormat="1" applyFont="1" applyFill="1" applyBorder="1" applyAlignment="1">
      <alignment horizontal="center" vertical="center"/>
    </xf>
    <xf numFmtId="3" fontId="169" fillId="36" borderId="19" xfId="1" applyNumberFormat="1" applyFont="1" applyFill="1" applyBorder="1" applyAlignment="1">
      <alignment horizontal="center" vertical="center"/>
    </xf>
    <xf numFmtId="3" fontId="169" fillId="36" borderId="193" xfId="1" applyNumberFormat="1" applyFont="1" applyFill="1" applyBorder="1" applyAlignment="1">
      <alignment horizontal="center" vertical="center"/>
    </xf>
    <xf numFmtId="3" fontId="169" fillId="36" borderId="114" xfId="1" applyNumberFormat="1" applyFont="1" applyFill="1" applyBorder="1" applyAlignment="1">
      <alignment horizontal="center" vertical="center"/>
    </xf>
    <xf numFmtId="3" fontId="50" fillId="34" borderId="114" xfId="1" applyNumberFormat="1" applyFont="1" applyFill="1" applyBorder="1" applyAlignment="1">
      <alignment horizontal="center" vertical="center"/>
    </xf>
    <xf numFmtId="3" fontId="50" fillId="34" borderId="82" xfId="1" applyNumberFormat="1" applyFont="1" applyFill="1" applyBorder="1" applyAlignment="1">
      <alignment horizontal="center" vertical="center"/>
    </xf>
    <xf numFmtId="174" fontId="2" fillId="33" borderId="193" xfId="1" applyNumberFormat="1" applyFont="1" applyFill="1" applyBorder="1" applyAlignment="1">
      <alignment horizontal="center" vertical="center"/>
    </xf>
    <xf numFmtId="3" fontId="2" fillId="36" borderId="82" xfId="1" applyNumberFormat="1" applyFont="1" applyFill="1" applyBorder="1" applyAlignment="1">
      <alignment horizontal="left" vertical="center"/>
    </xf>
    <xf numFmtId="3" fontId="2" fillId="36" borderId="82" xfId="1" applyNumberFormat="1" applyFont="1" applyFill="1" applyBorder="1" applyAlignment="1">
      <alignment horizontal="center" vertical="center"/>
    </xf>
    <xf numFmtId="174" fontId="2" fillId="36" borderId="82" xfId="1" applyNumberFormat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16" fillId="4" borderId="32" xfId="1" applyFont="1" applyFill="1" applyBorder="1" applyAlignment="1">
      <alignment horizontal="center"/>
    </xf>
    <xf numFmtId="0" fontId="162" fillId="4" borderId="27" xfId="1" applyFont="1" applyFill="1" applyBorder="1" applyAlignment="1">
      <alignment horizontal="center" vertical="center"/>
    </xf>
    <xf numFmtId="0" fontId="113" fillId="4" borderId="17" xfId="1" applyFont="1" applyFill="1" applyBorder="1" applyAlignment="1">
      <alignment horizontal="center" vertical="center"/>
    </xf>
    <xf numFmtId="0" fontId="115" fillId="4" borderId="111" xfId="1" applyFont="1" applyFill="1" applyBorder="1" applyAlignment="1">
      <alignment horizontal="center"/>
    </xf>
    <xf numFmtId="0" fontId="115" fillId="4" borderId="280" xfId="1" applyFont="1" applyFill="1" applyBorder="1" applyAlignment="1">
      <alignment horizontal="center" vertical="center"/>
    </xf>
    <xf numFmtId="0" fontId="113" fillId="4" borderId="276" xfId="1" applyFont="1" applyFill="1" applyBorder="1" applyAlignment="1">
      <alignment horizontal="center" vertical="center"/>
    </xf>
    <xf numFmtId="0" fontId="113" fillId="50" borderId="23" xfId="1" applyFont="1" applyFill="1" applyBorder="1" applyAlignment="1">
      <alignment horizontal="center" vertical="center"/>
    </xf>
    <xf numFmtId="0" fontId="115" fillId="4" borderId="24" xfId="1" applyFont="1" applyFill="1" applyBorder="1" applyAlignment="1">
      <alignment horizontal="center" vertical="center"/>
    </xf>
    <xf numFmtId="0" fontId="115" fillId="4" borderId="2" xfId="1" applyFont="1" applyFill="1" applyBorder="1" applyAlignment="1">
      <alignment horizontal="center" vertical="center"/>
    </xf>
    <xf numFmtId="0" fontId="113" fillId="50" borderId="17" xfId="1" applyFont="1" applyFill="1" applyBorder="1" applyAlignment="1">
      <alignment horizontal="center" vertical="center"/>
    </xf>
    <xf numFmtId="0" fontId="115" fillId="50" borderId="2" xfId="1" applyFont="1" applyFill="1" applyBorder="1" applyAlignment="1">
      <alignment horizontal="center"/>
    </xf>
    <xf numFmtId="0" fontId="115" fillId="50" borderId="271" xfId="1" applyFont="1" applyFill="1" applyBorder="1" applyAlignment="1">
      <alignment horizontal="center"/>
    </xf>
    <xf numFmtId="0" fontId="115" fillId="50" borderId="111" xfId="1" applyFont="1" applyFill="1" applyBorder="1" applyAlignment="1">
      <alignment horizontal="center"/>
    </xf>
    <xf numFmtId="0" fontId="113" fillId="50" borderId="276" xfId="1" applyFont="1" applyFill="1" applyBorder="1" applyAlignment="1">
      <alignment horizontal="center" vertical="center"/>
    </xf>
    <xf numFmtId="0" fontId="104" fillId="50" borderId="0" xfId="15" applyFont="1" applyFill="1" applyBorder="1" applyAlignment="1">
      <alignment horizontal="left" vertical="center"/>
    </xf>
    <xf numFmtId="174" fontId="105" fillId="0" borderId="73" xfId="1" applyNumberFormat="1" applyFont="1" applyFill="1" applyBorder="1" applyAlignment="1">
      <alignment horizontal="center" vertical="center"/>
    </xf>
    <xf numFmtId="0" fontId="115" fillId="4" borderId="273" xfId="1" applyFont="1" applyFill="1" applyBorder="1" applyAlignment="1">
      <alignment horizontal="center" vertical="center"/>
    </xf>
    <xf numFmtId="0" fontId="104" fillId="4" borderId="0" xfId="15" applyFont="1" applyFill="1" applyBorder="1" applyAlignment="1">
      <alignment horizontal="left" vertical="center"/>
    </xf>
    <xf numFmtId="0" fontId="115" fillId="0" borderId="306" xfId="1" applyFont="1" applyFill="1" applyBorder="1" applyAlignment="1">
      <alignment horizontal="center"/>
    </xf>
    <xf numFmtId="166" fontId="43" fillId="0" borderId="302" xfId="1" applyNumberFormat="1" applyFont="1" applyFill="1" applyBorder="1" applyAlignment="1">
      <alignment horizontal="center" vertical="center"/>
    </xf>
    <xf numFmtId="3" fontId="50" fillId="0" borderId="302" xfId="1" applyNumberFormat="1" applyFont="1" applyFill="1" applyBorder="1" applyAlignment="1">
      <alignment horizontal="center" vertical="center"/>
    </xf>
    <xf numFmtId="3" fontId="53" fillId="0" borderId="302" xfId="1" applyNumberFormat="1" applyFont="1" applyFill="1" applyBorder="1" applyAlignment="1">
      <alignment horizontal="left" vertical="center"/>
    </xf>
    <xf numFmtId="3" fontId="108" fillId="0" borderId="302" xfId="1" applyNumberFormat="1" applyFont="1" applyFill="1" applyBorder="1" applyAlignment="1">
      <alignment horizontal="center" vertical="center"/>
    </xf>
    <xf numFmtId="0" fontId="108" fillId="0" borderId="302" xfId="1" applyFont="1" applyFill="1" applyBorder="1" applyAlignment="1">
      <alignment horizontal="center" vertical="center"/>
    </xf>
    <xf numFmtId="174" fontId="53" fillId="0" borderId="302" xfId="1" applyNumberFormat="1" applyFont="1" applyFill="1" applyBorder="1" applyAlignment="1">
      <alignment horizontal="center" vertical="center"/>
    </xf>
    <xf numFmtId="14" fontId="53" fillId="0" borderId="302" xfId="1" applyNumberFormat="1" applyFont="1" applyFill="1" applyBorder="1" applyAlignment="1">
      <alignment horizontal="center" vertical="center"/>
    </xf>
    <xf numFmtId="2" fontId="53" fillId="0" borderId="307" xfId="1" applyNumberFormat="1" applyFont="1" applyFill="1" applyBorder="1" applyAlignment="1">
      <alignment horizontal="center" vertical="center"/>
    </xf>
    <xf numFmtId="0" fontId="113" fillId="0" borderId="308" xfId="1" applyFont="1" applyFill="1" applyBorder="1" applyAlignment="1">
      <alignment horizontal="center" vertical="center"/>
    </xf>
    <xf numFmtId="0" fontId="116" fillId="0" borderId="310" xfId="1" applyFont="1" applyFill="1" applyBorder="1" applyAlignment="1">
      <alignment horizontal="center"/>
    </xf>
    <xf numFmtId="3" fontId="43" fillId="0" borderId="311" xfId="1" applyNumberFormat="1" applyFont="1" applyFill="1" applyBorder="1" applyAlignment="1">
      <alignment horizontal="center" vertical="center"/>
    </xf>
    <xf numFmtId="3" fontId="50" fillId="0" borderId="310" xfId="1" applyNumberFormat="1" applyFont="1" applyFill="1" applyBorder="1" applyAlignment="1">
      <alignment horizontal="center" vertical="center"/>
    </xf>
    <xf numFmtId="3" fontId="50" fillId="0" borderId="312" xfId="1" applyNumberFormat="1" applyFont="1" applyFill="1" applyBorder="1" applyAlignment="1">
      <alignment horizontal="center" vertical="center"/>
    </xf>
    <xf numFmtId="3" fontId="130" fillId="0" borderId="313" xfId="1" applyNumberFormat="1" applyFont="1" applyFill="1" applyBorder="1" applyAlignment="1">
      <alignment horizontal="center" vertical="center"/>
    </xf>
    <xf numFmtId="3" fontId="130" fillId="0" borderId="305" xfId="1" applyNumberFormat="1" applyFont="1" applyFill="1" applyBorder="1" applyAlignment="1">
      <alignment horizontal="center" vertical="center"/>
    </xf>
    <xf numFmtId="3" fontId="50" fillId="0" borderId="305" xfId="1" applyNumberFormat="1" applyFont="1" applyFill="1" applyBorder="1" applyAlignment="1">
      <alignment horizontal="center" vertical="center"/>
    </xf>
    <xf numFmtId="3" fontId="2" fillId="0" borderId="305" xfId="1" applyNumberFormat="1" applyFont="1" applyFill="1" applyBorder="1" applyAlignment="1">
      <alignment horizontal="left" vertical="center"/>
    </xf>
    <xf numFmtId="3" fontId="108" fillId="0" borderId="305" xfId="1" applyNumberFormat="1" applyFont="1" applyFill="1" applyBorder="1" applyAlignment="1">
      <alignment horizontal="center" vertical="center"/>
    </xf>
    <xf numFmtId="0" fontId="113" fillId="0" borderId="305" xfId="1" applyFont="1" applyFill="1" applyBorder="1" applyAlignment="1">
      <alignment horizontal="center" vertical="center"/>
    </xf>
    <xf numFmtId="174" fontId="2" fillId="0" borderId="305" xfId="1" applyNumberFormat="1" applyFont="1" applyFill="1" applyBorder="1" applyAlignment="1">
      <alignment horizontal="center" vertical="center"/>
    </xf>
    <xf numFmtId="14" fontId="2" fillId="0" borderId="305" xfId="1" applyNumberFormat="1" applyFont="1" applyFill="1" applyBorder="1" applyAlignment="1">
      <alignment horizontal="center" vertical="center"/>
    </xf>
    <xf numFmtId="2" fontId="53" fillId="0" borderId="314" xfId="1" applyNumberFormat="1" applyFont="1" applyFill="1" applyBorder="1" applyAlignment="1">
      <alignment horizontal="center" vertical="center"/>
    </xf>
    <xf numFmtId="0" fontId="113" fillId="4" borderId="27" xfId="1" applyFont="1" applyFill="1" applyBorder="1" applyAlignment="1">
      <alignment horizontal="center" vertical="center"/>
    </xf>
    <xf numFmtId="0" fontId="115" fillId="4" borderId="32" xfId="1" applyFont="1" applyFill="1" applyBorder="1" applyAlignment="1">
      <alignment horizontal="center"/>
    </xf>
    <xf numFmtId="3" fontId="43" fillId="0" borderId="304" xfId="1" applyNumberFormat="1" applyFont="1" applyFill="1" applyBorder="1" applyAlignment="1">
      <alignment horizontal="center" vertical="center"/>
    </xf>
    <xf numFmtId="3" fontId="50" fillId="0" borderId="315" xfId="1" applyNumberFormat="1" applyFont="1" applyFill="1" applyBorder="1" applyAlignment="1">
      <alignment horizontal="center" vertical="center"/>
    </xf>
    <xf numFmtId="3" fontId="50" fillId="0" borderId="303" xfId="1" applyNumberFormat="1" applyFont="1" applyFill="1" applyBorder="1" applyAlignment="1">
      <alignment horizontal="center" vertical="center"/>
    </xf>
    <xf numFmtId="3" fontId="53" fillId="0" borderId="303" xfId="1" applyNumberFormat="1" applyFont="1" applyFill="1" applyBorder="1" applyAlignment="1">
      <alignment horizontal="left" vertical="center"/>
    </xf>
    <xf numFmtId="3" fontId="53" fillId="0" borderId="303" xfId="1" applyNumberFormat="1" applyFont="1" applyFill="1" applyBorder="1" applyAlignment="1">
      <alignment horizontal="center" vertical="center"/>
    </xf>
    <xf numFmtId="0" fontId="2" fillId="0" borderId="303" xfId="1" applyFont="1" applyFill="1" applyBorder="1" applyAlignment="1">
      <alignment horizontal="center" vertical="center"/>
    </xf>
    <xf numFmtId="174" fontId="105" fillId="0" borderId="303" xfId="1" applyNumberFormat="1" applyFont="1" applyFill="1" applyBorder="1" applyAlignment="1">
      <alignment horizontal="center" vertical="center"/>
    </xf>
    <xf numFmtId="14" fontId="53" fillId="0" borderId="303" xfId="1" applyNumberFormat="1" applyFont="1" applyFill="1" applyBorder="1" applyAlignment="1">
      <alignment horizontal="center" vertical="center"/>
    </xf>
    <xf numFmtId="2" fontId="53" fillId="0" borderId="316" xfId="1" applyNumberFormat="1" applyFont="1" applyFill="1" applyBorder="1" applyAlignment="1">
      <alignment horizontal="center" vertical="center"/>
    </xf>
    <xf numFmtId="0" fontId="172" fillId="0" borderId="15" xfId="15" applyFont="1" applyFill="1" applyBorder="1" applyAlignment="1">
      <alignment horizontal="center" vertical="center"/>
    </xf>
    <xf numFmtId="3" fontId="48" fillId="0" borderId="2" xfId="1" applyNumberFormat="1" applyFont="1" applyFill="1" applyBorder="1" applyAlignment="1">
      <alignment horizontal="center" vertical="center"/>
    </xf>
    <xf numFmtId="3" fontId="50" fillId="0" borderId="289" xfId="1" applyNumberFormat="1" applyFont="1" applyFill="1" applyBorder="1" applyAlignment="1">
      <alignment horizontal="center" vertical="center"/>
    </xf>
    <xf numFmtId="3" fontId="50" fillId="22" borderId="302" xfId="1" applyNumberFormat="1" applyFont="1" applyFill="1" applyBorder="1" applyAlignment="1">
      <alignment horizontal="center" vertical="center"/>
    </xf>
    <xf numFmtId="3" fontId="53" fillId="0" borderId="302" xfId="1" applyNumberFormat="1" applyFont="1" applyFill="1" applyBorder="1" applyAlignment="1">
      <alignment horizontal="center" vertical="center"/>
    </xf>
    <xf numFmtId="0" fontId="2" fillId="0" borderId="302" xfId="1" applyFont="1" applyFill="1" applyBorder="1" applyAlignment="1">
      <alignment horizontal="center" vertical="center"/>
    </xf>
    <xf numFmtId="3" fontId="130" fillId="0" borderId="317" xfId="1" applyNumberFormat="1" applyFont="1" applyFill="1" applyBorder="1" applyAlignment="1">
      <alignment horizontal="center" vertical="center"/>
    </xf>
    <xf numFmtId="3" fontId="130" fillId="0" borderId="302" xfId="1" applyNumberFormat="1" applyFont="1" applyFill="1" applyBorder="1" applyAlignment="1">
      <alignment horizontal="center" vertical="center"/>
    </xf>
    <xf numFmtId="3" fontId="2" fillId="0" borderId="302" xfId="1" applyNumberFormat="1" applyFont="1" applyFill="1" applyBorder="1" applyAlignment="1">
      <alignment horizontal="left" vertical="center"/>
    </xf>
    <xf numFmtId="3" fontId="2" fillId="0" borderId="302" xfId="1" applyNumberFormat="1" applyFont="1" applyFill="1" applyBorder="1" applyAlignment="1">
      <alignment horizontal="center" vertical="center"/>
    </xf>
    <xf numFmtId="0" fontId="113" fillId="0" borderId="302" xfId="1" applyFont="1" applyFill="1" applyBorder="1" applyAlignment="1">
      <alignment horizontal="center" vertical="center"/>
    </xf>
    <xf numFmtId="174" fontId="2" fillId="0" borderId="302" xfId="1" applyNumberFormat="1" applyFont="1" applyFill="1" applyBorder="1" applyAlignment="1">
      <alignment horizontal="center" vertical="center"/>
    </xf>
    <xf numFmtId="14" fontId="2" fillId="0" borderId="302" xfId="1" applyNumberFormat="1" applyFont="1" applyFill="1" applyBorder="1" applyAlignment="1">
      <alignment horizontal="center" vertical="center"/>
    </xf>
    <xf numFmtId="3" fontId="50" fillId="0" borderId="319" xfId="1" applyNumberFormat="1" applyFont="1" applyFill="1" applyBorder="1" applyAlignment="1">
      <alignment horizontal="center" vertical="center"/>
    </xf>
    <xf numFmtId="3" fontId="74" fillId="0" borderId="317" xfId="1" applyNumberFormat="1" applyFont="1" applyFill="1" applyBorder="1" applyAlignment="1">
      <alignment horizontal="center" vertical="center"/>
    </xf>
    <xf numFmtId="3" fontId="74" fillId="0" borderId="302" xfId="1" applyNumberFormat="1" applyFont="1" applyFill="1" applyBorder="1" applyAlignment="1">
      <alignment horizontal="center" vertical="center"/>
    </xf>
    <xf numFmtId="174" fontId="105" fillId="0" borderId="302" xfId="1" applyNumberFormat="1" applyFont="1" applyFill="1" applyBorder="1" applyAlignment="1">
      <alignment horizontal="center" vertical="center"/>
    </xf>
    <xf numFmtId="3" fontId="74" fillId="0" borderId="320" xfId="1" applyNumberFormat="1" applyFont="1" applyFill="1" applyBorder="1" applyAlignment="1">
      <alignment horizontal="center" vertical="center" wrapText="1"/>
    </xf>
    <xf numFmtId="0" fontId="43" fillId="0" borderId="321" xfId="1" applyFont="1" applyFill="1" applyBorder="1" applyAlignment="1">
      <alignment horizontal="center" vertical="center" wrapText="1"/>
    </xf>
    <xf numFmtId="3" fontId="74" fillId="0" borderId="322" xfId="1" applyNumberFormat="1" applyFont="1" applyFill="1" applyBorder="1" applyAlignment="1">
      <alignment horizontal="center" vertical="center"/>
    </xf>
    <xf numFmtId="3" fontId="74" fillId="0" borderId="323" xfId="1" applyNumberFormat="1" applyFont="1" applyFill="1" applyBorder="1" applyAlignment="1">
      <alignment horizontal="center" vertical="center"/>
    </xf>
    <xf numFmtId="0" fontId="2" fillId="0" borderId="323" xfId="1" applyFont="1" applyBorder="1" applyAlignment="1">
      <alignment horizontal="left" vertical="center" wrapText="1"/>
    </xf>
    <xf numFmtId="3" fontId="53" fillId="0" borderId="323" xfId="1" applyNumberFormat="1" applyFont="1" applyFill="1" applyBorder="1" applyAlignment="1">
      <alignment horizontal="center" vertical="center"/>
    </xf>
    <xf numFmtId="0" fontId="2" fillId="0" borderId="323" xfId="1" applyFont="1" applyFill="1" applyBorder="1" applyAlignment="1">
      <alignment horizontal="center" vertical="center"/>
    </xf>
    <xf numFmtId="174" fontId="53" fillId="0" borderId="323" xfId="1" applyNumberFormat="1" applyFont="1" applyFill="1" applyBorder="1" applyAlignment="1">
      <alignment horizontal="center" vertical="center"/>
    </xf>
    <xf numFmtId="14" fontId="53" fillId="0" borderId="323" xfId="1" applyNumberFormat="1" applyFont="1" applyFill="1" applyBorder="1" applyAlignment="1">
      <alignment horizontal="center" vertical="center"/>
    </xf>
    <xf numFmtId="2" fontId="53" fillId="0" borderId="324" xfId="1" applyNumberFormat="1" applyFont="1" applyFill="1" applyBorder="1" applyAlignment="1">
      <alignment horizontal="center" vertical="center"/>
    </xf>
    <xf numFmtId="3" fontId="50" fillId="0" borderId="325" xfId="1" applyNumberFormat="1" applyFont="1" applyFill="1" applyBorder="1" applyAlignment="1">
      <alignment horizontal="center" vertical="center"/>
    </xf>
    <xf numFmtId="3" fontId="50" fillId="0" borderId="274" xfId="1" applyNumberFormat="1" applyFont="1" applyFill="1" applyBorder="1" applyAlignment="1">
      <alignment horizontal="center" vertical="center"/>
    </xf>
    <xf numFmtId="3" fontId="50" fillId="22" borderId="303" xfId="1" applyNumberFormat="1" applyFont="1" applyFill="1" applyBorder="1" applyAlignment="1">
      <alignment horizontal="center" vertical="center"/>
    </xf>
    <xf numFmtId="174" fontId="53" fillId="0" borderId="303" xfId="1" applyNumberFormat="1" applyFont="1" applyFill="1" applyBorder="1" applyAlignment="1">
      <alignment horizontal="center" vertical="center"/>
    </xf>
    <xf numFmtId="3" fontId="169" fillId="0" borderId="327" xfId="1" applyNumberFormat="1" applyFont="1" applyFill="1" applyBorder="1" applyAlignment="1">
      <alignment horizontal="center" vertical="center"/>
    </xf>
    <xf numFmtId="3" fontId="50" fillId="0" borderId="328" xfId="1" applyNumberFormat="1" applyFont="1" applyFill="1" applyBorder="1" applyAlignment="1">
      <alignment horizontal="center" vertical="center"/>
    </xf>
    <xf numFmtId="3" fontId="50" fillId="0" borderId="329" xfId="1" applyNumberFormat="1" applyFont="1" applyFill="1" applyBorder="1" applyAlignment="1">
      <alignment horizontal="center" vertical="center"/>
    </xf>
    <xf numFmtId="3" fontId="53" fillId="0" borderId="329" xfId="1" applyNumberFormat="1" applyFont="1" applyFill="1" applyBorder="1" applyAlignment="1">
      <alignment horizontal="left" vertical="center"/>
    </xf>
    <xf numFmtId="3" fontId="53" fillId="0" borderId="329" xfId="1" applyNumberFormat="1" applyFont="1" applyFill="1" applyBorder="1" applyAlignment="1">
      <alignment horizontal="center" vertical="center"/>
    </xf>
    <xf numFmtId="0" fontId="2" fillId="0" borderId="329" xfId="1" applyFont="1" applyFill="1" applyBorder="1" applyAlignment="1">
      <alignment horizontal="center" vertical="center"/>
    </xf>
    <xf numFmtId="174" fontId="53" fillId="0" borderId="329" xfId="1" applyNumberFormat="1" applyFont="1" applyFill="1" applyBorder="1" applyAlignment="1">
      <alignment horizontal="center" vertical="center"/>
    </xf>
    <xf numFmtId="14" fontId="53" fillId="0" borderId="329" xfId="1" applyNumberFormat="1" applyFont="1" applyFill="1" applyBorder="1" applyAlignment="1">
      <alignment horizontal="center" vertical="center"/>
    </xf>
    <xf numFmtId="2" fontId="53" fillId="0" borderId="330" xfId="1" applyNumberFormat="1" applyFont="1" applyFill="1" applyBorder="1" applyAlignment="1">
      <alignment horizontal="center" vertical="center"/>
    </xf>
    <xf numFmtId="3" fontId="74" fillId="0" borderId="303" xfId="1" applyNumberFormat="1" applyFont="1" applyFill="1" applyBorder="1" applyAlignment="1">
      <alignment horizontal="center" vertical="center"/>
    </xf>
    <xf numFmtId="0" fontId="116" fillId="0" borderId="331" xfId="1" applyFont="1" applyFill="1" applyBorder="1" applyAlignment="1">
      <alignment horizontal="center"/>
    </xf>
    <xf numFmtId="0" fontId="115" fillId="4" borderId="332" xfId="1" applyFont="1" applyFill="1" applyBorder="1" applyAlignment="1">
      <alignment horizontal="center"/>
    </xf>
    <xf numFmtId="0" fontId="113" fillId="0" borderId="334" xfId="1" applyFont="1" applyFill="1" applyBorder="1" applyAlignment="1">
      <alignment horizontal="center" vertical="center"/>
    </xf>
    <xf numFmtId="0" fontId="105" fillId="0" borderId="333" xfId="1" applyFont="1" applyFill="1" applyBorder="1" applyAlignment="1">
      <alignment horizontal="center" vertical="center"/>
    </xf>
    <xf numFmtId="0" fontId="115" fillId="0" borderId="315" xfId="1" applyFont="1" applyFill="1" applyBorder="1" applyAlignment="1">
      <alignment horizontal="center" vertical="center"/>
    </xf>
    <xf numFmtId="0" fontId="113" fillId="0" borderId="337" xfId="1" applyFont="1" applyFill="1" applyBorder="1" applyAlignment="1">
      <alignment horizontal="center" vertical="center"/>
    </xf>
    <xf numFmtId="0" fontId="53" fillId="0" borderId="338" xfId="1" applyFont="1" applyFill="1" applyBorder="1" applyAlignment="1">
      <alignment horizontal="left" vertical="center"/>
    </xf>
    <xf numFmtId="0" fontId="115" fillId="0" borderId="338" xfId="1" applyFont="1" applyFill="1" applyBorder="1" applyAlignment="1">
      <alignment horizontal="center" vertical="center"/>
    </xf>
    <xf numFmtId="0" fontId="115" fillId="0" borderId="32" xfId="1" applyFont="1" applyFill="1" applyBorder="1" applyAlignment="1">
      <alignment horizontal="center" vertical="center"/>
    </xf>
    <xf numFmtId="0" fontId="23" fillId="0" borderId="341" xfId="15" applyFont="1" applyFill="1" applyBorder="1" applyAlignment="1">
      <alignment horizontal="left" vertical="center"/>
    </xf>
    <xf numFmtId="0" fontId="115" fillId="0" borderId="339" xfId="1" applyFont="1" applyFill="1" applyBorder="1" applyAlignment="1">
      <alignment horizontal="center" vertical="center"/>
    </xf>
    <xf numFmtId="0" fontId="115" fillId="0" borderId="331" xfId="1" applyFont="1" applyFill="1" applyBorder="1" applyAlignment="1">
      <alignment horizontal="center"/>
    </xf>
    <xf numFmtId="3" fontId="50" fillId="0" borderId="331" xfId="1" applyNumberFormat="1" applyFont="1" applyFill="1" applyBorder="1" applyAlignment="1">
      <alignment horizontal="center" vertical="center"/>
    </xf>
    <xf numFmtId="3" fontId="169" fillId="0" borderId="332" xfId="1" applyNumberFormat="1" applyFont="1" applyFill="1" applyBorder="1" applyAlignment="1">
      <alignment horizontal="center" vertical="center"/>
    </xf>
    <xf numFmtId="3" fontId="50" fillId="0" borderId="318" xfId="1" applyNumberFormat="1" applyFont="1" applyFill="1" applyBorder="1" applyAlignment="1">
      <alignment horizontal="center" vertical="center"/>
    </xf>
    <xf numFmtId="3" fontId="74" fillId="0" borderId="272" xfId="1" applyNumberFormat="1" applyFont="1" applyFill="1" applyBorder="1" applyAlignment="1">
      <alignment horizontal="center" vertical="center"/>
    </xf>
    <xf numFmtId="3" fontId="53" fillId="0" borderId="272" xfId="1" applyNumberFormat="1" applyFont="1" applyFill="1" applyBorder="1" applyAlignment="1">
      <alignment horizontal="left" vertical="center"/>
    </xf>
    <xf numFmtId="3" fontId="53" fillId="0" borderId="272" xfId="1" applyNumberFormat="1" applyFont="1" applyFill="1" applyBorder="1" applyAlignment="1">
      <alignment horizontal="center" vertical="center"/>
    </xf>
    <xf numFmtId="0" fontId="2" fillId="0" borderId="272" xfId="1" applyFont="1" applyFill="1" applyBorder="1" applyAlignment="1">
      <alignment horizontal="center" vertical="center"/>
    </xf>
    <xf numFmtId="174" fontId="53" fillId="0" borderId="272" xfId="1" applyNumberFormat="1" applyFont="1" applyFill="1" applyBorder="1" applyAlignment="1">
      <alignment horizontal="center" vertical="center"/>
    </xf>
    <xf numFmtId="14" fontId="53" fillId="0" borderId="272" xfId="1" applyNumberFormat="1" applyFont="1" applyFill="1" applyBorder="1" applyAlignment="1">
      <alignment horizontal="center" vertical="center"/>
    </xf>
    <xf numFmtId="0" fontId="113" fillId="4" borderId="33" xfId="1" applyFont="1" applyFill="1" applyBorder="1" applyAlignment="1">
      <alignment horizontal="center" vertical="center"/>
    </xf>
    <xf numFmtId="0" fontId="113" fillId="0" borderId="347" xfId="1" applyFont="1" applyFill="1" applyBorder="1" applyAlignment="1">
      <alignment horizontal="center" vertical="center"/>
    </xf>
    <xf numFmtId="0" fontId="23" fillId="0" borderId="348" xfId="15" applyFont="1" applyFill="1" applyBorder="1" applyAlignment="1">
      <alignment horizontal="left" vertical="center"/>
    </xf>
    <xf numFmtId="0" fontId="115" fillId="0" borderId="349" xfId="1" applyFont="1" applyFill="1" applyBorder="1" applyAlignment="1">
      <alignment horizontal="center"/>
    </xf>
    <xf numFmtId="0" fontId="113" fillId="0" borderId="350" xfId="1" applyFont="1" applyFill="1" applyBorder="1" applyAlignment="1">
      <alignment horizontal="center" vertical="center"/>
    </xf>
    <xf numFmtId="0" fontId="53" fillId="0" borderId="4" xfId="1" applyFont="1" applyFill="1" applyBorder="1" applyAlignment="1">
      <alignment horizontal="left" vertical="center"/>
    </xf>
    <xf numFmtId="3" fontId="169" fillId="0" borderId="352" xfId="1" applyNumberFormat="1" applyFont="1" applyFill="1" applyBorder="1" applyAlignment="1">
      <alignment horizontal="center" vertical="center"/>
    </xf>
    <xf numFmtId="3" fontId="169" fillId="0" borderId="353" xfId="1" applyNumberFormat="1" applyFont="1" applyFill="1" applyBorder="1" applyAlignment="1">
      <alignment horizontal="center" vertical="center"/>
    </xf>
    <xf numFmtId="3" fontId="50" fillId="0" borderId="345" xfId="1" applyNumberFormat="1" applyFont="1" applyFill="1" applyBorder="1" applyAlignment="1">
      <alignment horizontal="center" vertical="center"/>
    </xf>
    <xf numFmtId="3" fontId="50" fillId="0" borderId="344" xfId="1" applyNumberFormat="1" applyFont="1" applyFill="1" applyBorder="1" applyAlignment="1">
      <alignment horizontal="center" vertical="center"/>
    </xf>
    <xf numFmtId="3" fontId="53" fillId="0" borderId="344" xfId="1" applyNumberFormat="1" applyFont="1" applyFill="1" applyBorder="1" applyAlignment="1">
      <alignment horizontal="left" vertical="center"/>
    </xf>
    <xf numFmtId="3" fontId="53" fillId="0" borderId="344" xfId="1" applyNumberFormat="1" applyFont="1" applyFill="1" applyBorder="1" applyAlignment="1">
      <alignment horizontal="center" vertical="center"/>
    </xf>
    <xf numFmtId="0" fontId="2" fillId="0" borderId="344" xfId="1" applyFont="1" applyFill="1" applyBorder="1" applyAlignment="1">
      <alignment horizontal="center" vertical="center"/>
    </xf>
    <xf numFmtId="174" fontId="53" fillId="0" borderId="344" xfId="1" applyNumberFormat="1" applyFont="1" applyFill="1" applyBorder="1" applyAlignment="1">
      <alignment horizontal="center" vertical="center"/>
    </xf>
    <xf numFmtId="14" fontId="53" fillId="0" borderId="344" xfId="1" applyNumberFormat="1" applyFont="1" applyFill="1" applyBorder="1" applyAlignment="1">
      <alignment horizontal="center" vertical="center"/>
    </xf>
    <xf numFmtId="2" fontId="53" fillId="0" borderId="354" xfId="1" applyNumberFormat="1" applyFont="1" applyFill="1" applyBorder="1" applyAlignment="1">
      <alignment horizontal="center" vertical="center"/>
    </xf>
    <xf numFmtId="3" fontId="50" fillId="0" borderId="355" xfId="1" applyNumberFormat="1" applyFont="1" applyFill="1" applyBorder="1" applyAlignment="1">
      <alignment horizontal="center" vertical="center"/>
    </xf>
    <xf numFmtId="3" fontId="74" fillId="0" borderId="315" xfId="1" applyNumberFormat="1" applyFont="1" applyFill="1" applyBorder="1" applyAlignment="1">
      <alignment horizontal="center" vertical="center"/>
    </xf>
    <xf numFmtId="3" fontId="74" fillId="0" borderId="274" xfId="1" applyNumberFormat="1" applyFont="1" applyFill="1" applyBorder="1" applyAlignment="1">
      <alignment horizontal="center" vertical="center"/>
    </xf>
    <xf numFmtId="3" fontId="74" fillId="22" borderId="274" xfId="1" applyNumberFormat="1" applyFont="1" applyFill="1" applyBorder="1" applyAlignment="1">
      <alignment horizontal="center" vertical="center"/>
    </xf>
    <xf numFmtId="3" fontId="53" fillId="0" borderId="274" xfId="1" applyNumberFormat="1" applyFont="1" applyFill="1" applyBorder="1" applyAlignment="1">
      <alignment horizontal="left" vertical="center"/>
    </xf>
    <xf numFmtId="3" fontId="53" fillId="0" borderId="274" xfId="1" applyNumberFormat="1" applyFont="1" applyFill="1" applyBorder="1" applyAlignment="1">
      <alignment horizontal="center" vertical="center"/>
    </xf>
    <xf numFmtId="0" fontId="2" fillId="0" borderId="274" xfId="1" applyFont="1" applyFill="1" applyBorder="1" applyAlignment="1">
      <alignment horizontal="center" vertical="center"/>
    </xf>
    <xf numFmtId="174" fontId="53" fillId="0" borderId="274" xfId="1" applyNumberFormat="1" applyFont="1" applyFill="1" applyBorder="1" applyAlignment="1">
      <alignment horizontal="center" vertical="center"/>
    </xf>
    <xf numFmtId="14" fontId="53" fillId="0" borderId="274" xfId="1" applyNumberFormat="1" applyFont="1" applyFill="1" applyBorder="1" applyAlignment="1">
      <alignment horizontal="center" vertical="center"/>
    </xf>
    <xf numFmtId="3" fontId="50" fillId="0" borderId="353" xfId="1" applyNumberFormat="1" applyFont="1" applyFill="1" applyBorder="1" applyAlignment="1">
      <alignment horizontal="center" vertical="center"/>
    </xf>
    <xf numFmtId="3" fontId="53" fillId="0" borderId="353" xfId="1" applyNumberFormat="1" applyFont="1" applyFill="1" applyBorder="1" applyAlignment="1">
      <alignment horizontal="left" vertical="center"/>
    </xf>
    <xf numFmtId="3" fontId="53" fillId="0" borderId="353" xfId="1" applyNumberFormat="1" applyFont="1" applyFill="1" applyBorder="1" applyAlignment="1">
      <alignment horizontal="center" vertical="center"/>
    </xf>
    <xf numFmtId="0" fontId="2" fillId="0" borderId="353" xfId="1" applyFont="1" applyFill="1" applyBorder="1" applyAlignment="1">
      <alignment horizontal="center" vertical="center"/>
    </xf>
    <xf numFmtId="14" fontId="53" fillId="0" borderId="353" xfId="1" applyNumberFormat="1" applyFont="1" applyFill="1" applyBorder="1" applyAlignment="1">
      <alignment horizontal="center" vertical="center"/>
    </xf>
    <xf numFmtId="2" fontId="53" fillId="0" borderId="356" xfId="1" applyNumberFormat="1" applyFont="1" applyFill="1" applyBorder="1" applyAlignment="1">
      <alignment horizontal="center" vertical="center"/>
    </xf>
    <xf numFmtId="3" fontId="169" fillId="0" borderId="355" xfId="1" applyNumberFormat="1" applyFont="1" applyFill="1" applyBorder="1" applyAlignment="1">
      <alignment horizontal="center" vertical="center"/>
    </xf>
    <xf numFmtId="3" fontId="169" fillId="0" borderId="342" xfId="1" applyNumberFormat="1" applyFont="1" applyFill="1" applyBorder="1" applyAlignment="1">
      <alignment horizontal="center" vertical="center"/>
    </xf>
    <xf numFmtId="3" fontId="53" fillId="35" borderId="302" xfId="1" applyNumberFormat="1" applyFont="1" applyFill="1" applyBorder="1" applyAlignment="1">
      <alignment horizontal="left" vertical="center"/>
    </xf>
    <xf numFmtId="3" fontId="53" fillId="35" borderId="302" xfId="1" applyNumberFormat="1" applyFont="1" applyFill="1" applyBorder="1" applyAlignment="1">
      <alignment horizontal="center" vertical="center"/>
    </xf>
    <xf numFmtId="0" fontId="2" fillId="35" borderId="302" xfId="1" applyFont="1" applyFill="1" applyBorder="1" applyAlignment="1">
      <alignment horizontal="center" vertical="center"/>
    </xf>
    <xf numFmtId="174" fontId="53" fillId="35" borderId="302" xfId="1" applyNumberFormat="1" applyFont="1" applyFill="1" applyBorder="1" applyAlignment="1">
      <alignment horizontal="center" vertical="center"/>
    </xf>
    <xf numFmtId="14" fontId="53" fillId="35" borderId="302" xfId="1" applyNumberFormat="1" applyFont="1" applyFill="1" applyBorder="1" applyAlignment="1">
      <alignment horizontal="center" vertical="center"/>
    </xf>
    <xf numFmtId="2" fontId="53" fillId="35" borderId="307" xfId="1" applyNumberFormat="1" applyFont="1" applyFill="1" applyBorder="1" applyAlignment="1">
      <alignment horizontal="center" vertical="center"/>
    </xf>
    <xf numFmtId="3" fontId="50" fillId="34" borderId="332" xfId="1" applyNumberFormat="1" applyFont="1" applyFill="1" applyBorder="1" applyAlignment="1">
      <alignment horizontal="center" vertical="center"/>
    </xf>
    <xf numFmtId="3" fontId="50" fillId="34" borderId="29" xfId="1" applyNumberFormat="1" applyFont="1" applyFill="1" applyBorder="1" applyAlignment="1">
      <alignment horizontal="center" vertical="center"/>
    </xf>
    <xf numFmtId="3" fontId="74" fillId="0" borderId="331" xfId="1" applyNumberFormat="1" applyFont="1" applyFill="1" applyBorder="1" applyAlignment="1">
      <alignment horizontal="center" vertical="center"/>
    </xf>
    <xf numFmtId="3" fontId="74" fillId="22" borderId="331" xfId="1" applyNumberFormat="1" applyFont="1" applyFill="1" applyBorder="1" applyAlignment="1">
      <alignment horizontal="center" vertical="center"/>
    </xf>
    <xf numFmtId="3" fontId="53" fillId="34" borderId="302" xfId="1" applyNumberFormat="1" applyFont="1" applyFill="1" applyBorder="1" applyAlignment="1">
      <alignment horizontal="left" vertical="center"/>
    </xf>
    <xf numFmtId="3" fontId="53" fillId="34" borderId="302" xfId="1" applyNumberFormat="1" applyFont="1" applyFill="1" applyBorder="1" applyAlignment="1">
      <alignment horizontal="center" vertical="center"/>
    </xf>
    <xf numFmtId="0" fontId="2" fillId="34" borderId="302" xfId="1" applyFont="1" applyFill="1" applyBorder="1" applyAlignment="1">
      <alignment horizontal="center" vertical="center"/>
    </xf>
    <xf numFmtId="174" fontId="53" fillId="34" borderId="302" xfId="1" applyNumberFormat="1" applyFont="1" applyFill="1" applyBorder="1" applyAlignment="1">
      <alignment horizontal="center" vertical="center"/>
    </xf>
    <xf numFmtId="14" fontId="53" fillId="34" borderId="302" xfId="1" applyNumberFormat="1" applyFont="1" applyFill="1" applyBorder="1" applyAlignment="1">
      <alignment horizontal="center" vertical="center"/>
    </xf>
    <xf numFmtId="3" fontId="50" fillId="33" borderId="332" xfId="1" applyNumberFormat="1" applyFont="1" applyFill="1" applyBorder="1" applyAlignment="1">
      <alignment horizontal="center" vertical="center"/>
    </xf>
    <xf numFmtId="3" fontId="108" fillId="35" borderId="302" xfId="1" applyNumberFormat="1" applyFont="1" applyFill="1" applyBorder="1" applyAlignment="1">
      <alignment horizontal="center" vertical="center"/>
    </xf>
    <xf numFmtId="0" fontId="108" fillId="35" borderId="302" xfId="1" applyFont="1" applyFill="1" applyBorder="1" applyAlignment="1">
      <alignment horizontal="center" vertical="center"/>
    </xf>
    <xf numFmtId="3" fontId="50" fillId="35" borderId="332" xfId="1" applyNumberFormat="1" applyFont="1" applyFill="1" applyBorder="1" applyAlignment="1">
      <alignment horizontal="center" vertical="center"/>
    </xf>
    <xf numFmtId="3" fontId="50" fillId="35" borderId="302" xfId="1" applyNumberFormat="1" applyFont="1" applyFill="1" applyBorder="1" applyAlignment="1">
      <alignment horizontal="center" vertical="center"/>
    </xf>
    <xf numFmtId="3" fontId="50" fillId="35" borderId="272" xfId="1" applyNumberFormat="1" applyFont="1" applyFill="1" applyBorder="1" applyAlignment="1">
      <alignment horizontal="center" vertical="center"/>
    </xf>
    <xf numFmtId="14" fontId="53" fillId="35" borderId="302" xfId="1" quotePrefix="1" applyNumberFormat="1" applyFont="1" applyFill="1" applyBorder="1" applyAlignment="1">
      <alignment horizontal="center" vertical="center"/>
    </xf>
    <xf numFmtId="3" fontId="169" fillId="35" borderId="318" xfId="1" applyNumberFormat="1" applyFont="1" applyFill="1" applyBorder="1" applyAlignment="1">
      <alignment horizontal="center" vertical="center"/>
    </xf>
    <xf numFmtId="3" fontId="53" fillId="36" borderId="302" xfId="1" applyNumberFormat="1" applyFont="1" applyFill="1" applyBorder="1" applyAlignment="1">
      <alignment horizontal="left" vertical="center"/>
    </xf>
    <xf numFmtId="3" fontId="53" fillId="36" borderId="302" xfId="1" applyNumberFormat="1" applyFont="1" applyFill="1" applyBorder="1" applyAlignment="1">
      <alignment horizontal="center" vertical="center"/>
    </xf>
    <xf numFmtId="0" fontId="2" fillId="36" borderId="302" xfId="1" applyFont="1" applyFill="1" applyBorder="1" applyAlignment="1">
      <alignment horizontal="center" vertical="center"/>
    </xf>
    <xf numFmtId="174" fontId="53" fillId="36" borderId="302" xfId="1" applyNumberFormat="1" applyFont="1" applyFill="1" applyBorder="1" applyAlignment="1">
      <alignment horizontal="center" vertical="center"/>
    </xf>
    <xf numFmtId="14" fontId="53" fillId="36" borderId="302" xfId="1" applyNumberFormat="1" applyFont="1" applyFill="1" applyBorder="1" applyAlignment="1">
      <alignment horizontal="center" vertical="center"/>
    </xf>
    <xf numFmtId="0" fontId="162" fillId="36" borderId="17" xfId="1" applyFont="1" applyFill="1" applyBorder="1" applyAlignment="1">
      <alignment horizontal="center" vertical="center"/>
    </xf>
    <xf numFmtId="0" fontId="116" fillId="36" borderId="0" xfId="1" applyFont="1" applyFill="1" applyBorder="1" applyAlignment="1">
      <alignment horizontal="center"/>
    </xf>
    <xf numFmtId="3" fontId="169" fillId="36" borderId="332" xfId="1" applyNumberFormat="1" applyFont="1" applyFill="1" applyBorder="1" applyAlignment="1">
      <alignment horizontal="center" vertical="center"/>
    </xf>
    <xf numFmtId="0" fontId="162" fillId="33" borderId="347" xfId="1" applyFont="1" applyFill="1" applyBorder="1" applyAlignment="1">
      <alignment horizontal="center" vertical="center"/>
    </xf>
    <xf numFmtId="0" fontId="53" fillId="33" borderId="348" xfId="1" applyFont="1" applyFill="1" applyBorder="1" applyAlignment="1">
      <alignment horizontal="left" vertical="center"/>
    </xf>
    <xf numFmtId="0" fontId="115" fillId="35" borderId="348" xfId="1" applyFont="1" applyFill="1" applyBorder="1" applyAlignment="1">
      <alignment horizontal="center" vertical="center"/>
    </xf>
    <xf numFmtId="0" fontId="53" fillId="35" borderId="4" xfId="1" applyFont="1" applyFill="1" applyBorder="1" applyAlignment="1">
      <alignment horizontal="left" vertical="center"/>
    </xf>
    <xf numFmtId="3" fontId="169" fillId="33" borderId="346" xfId="1" applyNumberFormat="1" applyFont="1" applyFill="1" applyBorder="1" applyAlignment="1">
      <alignment horizontal="center" vertical="center"/>
    </xf>
    <xf numFmtId="3" fontId="169" fillId="33" borderId="359" xfId="1" applyNumberFormat="1" applyFont="1" applyFill="1" applyBorder="1" applyAlignment="1">
      <alignment horizontal="center" vertical="center"/>
    </xf>
    <xf numFmtId="3" fontId="74" fillId="0" borderId="345" xfId="1" applyNumberFormat="1" applyFont="1" applyFill="1" applyBorder="1" applyAlignment="1">
      <alignment horizontal="center" vertical="center"/>
    </xf>
    <xf numFmtId="3" fontId="74" fillId="0" borderId="344" xfId="1" applyNumberFormat="1" applyFont="1" applyFill="1" applyBorder="1" applyAlignment="1">
      <alignment horizontal="center" vertical="center"/>
    </xf>
    <xf numFmtId="3" fontId="53" fillId="33" borderId="344" xfId="1" applyNumberFormat="1" applyFont="1" applyFill="1" applyBorder="1" applyAlignment="1">
      <alignment horizontal="left" vertical="center"/>
    </xf>
    <xf numFmtId="3" fontId="53" fillId="33" borderId="344" xfId="1" applyNumberFormat="1" applyFont="1" applyFill="1" applyBorder="1" applyAlignment="1">
      <alignment horizontal="center" vertical="center"/>
    </xf>
    <xf numFmtId="0" fontId="113" fillId="33" borderId="344" xfId="1" applyFont="1" applyFill="1" applyBorder="1" applyAlignment="1">
      <alignment horizontal="center" vertical="center"/>
    </xf>
    <xf numFmtId="174" fontId="53" fillId="33" borderId="344" xfId="1" applyNumberFormat="1" applyFont="1" applyFill="1" applyBorder="1" applyAlignment="1">
      <alignment horizontal="center" vertical="center"/>
    </xf>
    <xf numFmtId="14" fontId="53" fillId="33" borderId="344" xfId="1" applyNumberFormat="1" applyFont="1" applyFill="1" applyBorder="1" applyAlignment="1">
      <alignment horizontal="center" vertical="center"/>
    </xf>
    <xf numFmtId="2" fontId="53" fillId="35" borderId="354" xfId="1" applyNumberFormat="1" applyFont="1" applyFill="1" applyBorder="1" applyAlignment="1">
      <alignment horizontal="center" vertical="center"/>
    </xf>
    <xf numFmtId="3" fontId="169" fillId="35" borderId="325" xfId="1" applyNumberFormat="1" applyFont="1" applyFill="1" applyBorder="1" applyAlignment="1">
      <alignment horizontal="center" vertical="center"/>
    </xf>
    <xf numFmtId="3" fontId="169" fillId="35" borderId="274" xfId="1" applyNumberFormat="1" applyFont="1" applyFill="1" applyBorder="1" applyAlignment="1">
      <alignment horizontal="center" vertical="center"/>
    </xf>
    <xf numFmtId="3" fontId="53" fillId="35" borderId="303" xfId="1" applyNumberFormat="1" applyFont="1" applyFill="1" applyBorder="1" applyAlignment="1">
      <alignment horizontal="left" vertical="center"/>
    </xf>
    <xf numFmtId="3" fontId="53" fillId="35" borderId="303" xfId="1" applyNumberFormat="1" applyFont="1" applyFill="1" applyBorder="1" applyAlignment="1">
      <alignment horizontal="center" vertical="center"/>
    </xf>
    <xf numFmtId="0" fontId="2" fillId="35" borderId="303" xfId="1" applyFont="1" applyFill="1" applyBorder="1" applyAlignment="1">
      <alignment horizontal="center" vertical="center"/>
    </xf>
    <xf numFmtId="174" fontId="53" fillId="35" borderId="303" xfId="1" applyNumberFormat="1" applyFont="1" applyFill="1" applyBorder="1" applyAlignment="1">
      <alignment horizontal="center" vertical="center"/>
    </xf>
    <xf numFmtId="14" fontId="53" fillId="35" borderId="303" xfId="1" applyNumberFormat="1" applyFont="1" applyFill="1" applyBorder="1" applyAlignment="1">
      <alignment horizontal="center" vertical="center"/>
    </xf>
    <xf numFmtId="2" fontId="53" fillId="35" borderId="316" xfId="1" applyNumberFormat="1" applyFont="1" applyFill="1" applyBorder="1" applyAlignment="1">
      <alignment horizontal="center" vertical="center"/>
    </xf>
    <xf numFmtId="3" fontId="169" fillId="35" borderId="346" xfId="1" applyNumberFormat="1" applyFont="1" applyFill="1" applyBorder="1" applyAlignment="1">
      <alignment horizontal="center" vertical="center"/>
    </xf>
    <xf numFmtId="3" fontId="169" fillId="35" borderId="359" xfId="1" applyNumberFormat="1" applyFont="1" applyFill="1" applyBorder="1" applyAlignment="1">
      <alignment horizontal="center" vertical="center"/>
    </xf>
    <xf numFmtId="3" fontId="50" fillId="0" borderId="343" xfId="1" applyNumberFormat="1" applyFont="1" applyFill="1" applyBorder="1" applyAlignment="1">
      <alignment horizontal="center" vertical="center"/>
    </xf>
    <xf numFmtId="3" fontId="53" fillId="35" borderId="344" xfId="1" applyNumberFormat="1" applyFont="1" applyFill="1" applyBorder="1" applyAlignment="1">
      <alignment horizontal="left" vertical="center"/>
    </xf>
    <xf numFmtId="3" fontId="53" fillId="35" borderId="344" xfId="1" applyNumberFormat="1" applyFont="1" applyFill="1" applyBorder="1" applyAlignment="1">
      <alignment horizontal="center" vertical="center"/>
    </xf>
    <xf numFmtId="0" fontId="2" fillId="35" borderId="344" xfId="1" applyFont="1" applyFill="1" applyBorder="1" applyAlignment="1">
      <alignment horizontal="center" vertical="center"/>
    </xf>
    <xf numFmtId="174" fontId="53" fillId="35" borderId="344" xfId="1" applyNumberFormat="1" applyFont="1" applyFill="1" applyBorder="1" applyAlignment="1">
      <alignment horizontal="center" vertical="center"/>
    </xf>
    <xf numFmtId="14" fontId="53" fillId="35" borderId="344" xfId="1" applyNumberFormat="1" applyFont="1" applyFill="1" applyBorder="1" applyAlignment="1">
      <alignment horizontal="center" vertical="center"/>
    </xf>
    <xf numFmtId="3" fontId="50" fillId="35" borderId="325" xfId="1" applyNumberFormat="1" applyFont="1" applyFill="1" applyBorder="1" applyAlignment="1">
      <alignment horizontal="center" vertical="center"/>
    </xf>
    <xf numFmtId="3" fontId="50" fillId="35" borderId="342" xfId="1" applyNumberFormat="1" applyFont="1" applyFill="1" applyBorder="1" applyAlignment="1">
      <alignment horizontal="center" vertical="center"/>
    </xf>
    <xf numFmtId="3" fontId="74" fillId="35" borderId="19" xfId="1" applyNumberFormat="1" applyFont="1" applyFill="1" applyBorder="1" applyAlignment="1">
      <alignment horizontal="center" vertical="center"/>
    </xf>
    <xf numFmtId="3" fontId="50" fillId="35" borderId="303" xfId="1" applyNumberFormat="1" applyFont="1" applyFill="1" applyBorder="1" applyAlignment="1">
      <alignment horizontal="center" vertical="center"/>
    </xf>
    <xf numFmtId="3" fontId="74" fillId="35" borderId="303" xfId="1" applyNumberFormat="1" applyFont="1" applyFill="1" applyBorder="1" applyAlignment="1">
      <alignment horizontal="center" vertical="center"/>
    </xf>
    <xf numFmtId="3" fontId="108" fillId="35" borderId="303" xfId="1" applyNumberFormat="1" applyFont="1" applyFill="1" applyBorder="1" applyAlignment="1">
      <alignment horizontal="center" vertical="center"/>
    </xf>
    <xf numFmtId="0" fontId="113" fillId="35" borderId="303" xfId="1" applyFont="1" applyFill="1" applyBorder="1" applyAlignment="1">
      <alignment horizontal="center" vertical="center"/>
    </xf>
    <xf numFmtId="174" fontId="2" fillId="35" borderId="303" xfId="1" applyNumberFormat="1" applyFont="1" applyFill="1" applyBorder="1" applyAlignment="1">
      <alignment horizontal="center" vertical="center"/>
    </xf>
    <xf numFmtId="3" fontId="50" fillId="33" borderId="346" xfId="1" applyNumberFormat="1" applyFont="1" applyFill="1" applyBorder="1" applyAlignment="1">
      <alignment horizontal="center" vertical="center"/>
    </xf>
    <xf numFmtId="3" fontId="53" fillId="36" borderId="344" xfId="1" applyNumberFormat="1" applyFont="1" applyFill="1" applyBorder="1" applyAlignment="1">
      <alignment horizontal="left" vertical="center"/>
    </xf>
    <xf numFmtId="3" fontId="53" fillId="36" borderId="344" xfId="1" applyNumberFormat="1" applyFont="1" applyFill="1" applyBorder="1" applyAlignment="1">
      <alignment horizontal="center" vertical="center"/>
    </xf>
    <xf numFmtId="0" fontId="2" fillId="36" borderId="344" xfId="1" applyFont="1" applyFill="1" applyBorder="1" applyAlignment="1">
      <alignment horizontal="center" vertical="center"/>
    </xf>
    <xf numFmtId="174" fontId="53" fillId="36" borderId="344" xfId="1" applyNumberFormat="1" applyFont="1" applyFill="1" applyBorder="1" applyAlignment="1">
      <alignment horizontal="center" vertical="center"/>
    </xf>
    <xf numFmtId="14" fontId="53" fillId="36" borderId="344" xfId="1" applyNumberFormat="1" applyFont="1" applyFill="1" applyBorder="1" applyAlignment="1">
      <alignment horizontal="center" vertical="center"/>
    </xf>
    <xf numFmtId="3" fontId="53" fillId="34" borderId="303" xfId="1" applyNumberFormat="1" applyFont="1" applyFill="1" applyBorder="1" applyAlignment="1">
      <alignment horizontal="left" vertical="center"/>
    </xf>
    <xf numFmtId="3" fontId="108" fillId="34" borderId="303" xfId="1" applyNumberFormat="1" applyFont="1" applyFill="1" applyBorder="1" applyAlignment="1">
      <alignment horizontal="center" vertical="center"/>
    </xf>
    <xf numFmtId="0" fontId="108" fillId="34" borderId="303" xfId="1" applyFont="1" applyFill="1" applyBorder="1" applyAlignment="1">
      <alignment horizontal="center" vertical="center"/>
    </xf>
    <xf numFmtId="174" fontId="53" fillId="34" borderId="303" xfId="1" applyNumberFormat="1" applyFont="1" applyFill="1" applyBorder="1" applyAlignment="1">
      <alignment horizontal="center" vertical="center"/>
    </xf>
    <xf numFmtId="14" fontId="53" fillId="34" borderId="303" xfId="1" applyNumberFormat="1" applyFont="1" applyFill="1" applyBorder="1" applyAlignment="1">
      <alignment horizontal="center" vertical="center"/>
    </xf>
    <xf numFmtId="0" fontId="113" fillId="35" borderId="347" xfId="1" applyFont="1" applyFill="1" applyBorder="1" applyAlignment="1">
      <alignment horizontal="center" vertical="center"/>
    </xf>
    <xf numFmtId="0" fontId="53" fillId="35" borderId="348" xfId="1" applyFont="1" applyFill="1" applyBorder="1" applyAlignment="1">
      <alignment horizontal="left" vertical="center"/>
    </xf>
    <xf numFmtId="0" fontId="115" fillId="35" borderId="348" xfId="1" applyFont="1" applyFill="1" applyBorder="1" applyAlignment="1">
      <alignment horizontal="center"/>
    </xf>
    <xf numFmtId="0" fontId="116" fillId="35" borderId="4" xfId="1" applyFont="1" applyFill="1" applyBorder="1" applyAlignment="1">
      <alignment horizontal="center"/>
    </xf>
    <xf numFmtId="0" fontId="113" fillId="36" borderId="347" xfId="1" applyFont="1" applyFill="1" applyBorder="1" applyAlignment="1">
      <alignment horizontal="center" vertical="center"/>
    </xf>
    <xf numFmtId="0" fontId="23" fillId="36" borderId="348" xfId="15" applyFont="1" applyFill="1" applyBorder="1" applyAlignment="1">
      <alignment horizontal="left" vertical="center"/>
    </xf>
    <xf numFmtId="0" fontId="115" fillId="36" borderId="345" xfId="1" applyFont="1" applyFill="1" applyBorder="1" applyAlignment="1">
      <alignment horizontal="center"/>
    </xf>
    <xf numFmtId="0" fontId="162" fillId="33" borderId="27" xfId="1" applyFont="1" applyFill="1" applyBorder="1" applyAlignment="1">
      <alignment horizontal="center" vertical="center"/>
    </xf>
    <xf numFmtId="0" fontId="115" fillId="37" borderId="331" xfId="1" applyFont="1" applyFill="1" applyBorder="1" applyAlignment="1">
      <alignment horizontal="center"/>
    </xf>
    <xf numFmtId="3" fontId="169" fillId="37" borderId="331" xfId="1" applyNumberFormat="1" applyFont="1" applyFill="1" applyBorder="1" applyAlignment="1">
      <alignment horizontal="center" vertical="center"/>
    </xf>
    <xf numFmtId="3" fontId="169" fillId="37" borderId="302" xfId="1" applyNumberFormat="1" applyFont="1" applyFill="1" applyBorder="1" applyAlignment="1">
      <alignment horizontal="center" vertical="center"/>
    </xf>
    <xf numFmtId="3" fontId="53" fillId="37" borderId="302" xfId="1" applyNumberFormat="1" applyFont="1" applyFill="1" applyBorder="1" applyAlignment="1">
      <alignment horizontal="left" vertical="center"/>
    </xf>
    <xf numFmtId="3" fontId="53" fillId="37" borderId="302" xfId="1" applyNumberFormat="1" applyFont="1" applyFill="1" applyBorder="1" applyAlignment="1">
      <alignment horizontal="center" vertical="center"/>
    </xf>
    <xf numFmtId="0" fontId="2" fillId="37" borderId="302" xfId="1" applyFont="1" applyFill="1" applyBorder="1" applyAlignment="1">
      <alignment horizontal="center" vertical="center"/>
    </xf>
    <xf numFmtId="174" fontId="53" fillId="37" borderId="302" xfId="1" applyNumberFormat="1" applyFont="1" applyFill="1" applyBorder="1" applyAlignment="1">
      <alignment horizontal="center" vertical="center"/>
    </xf>
    <xf numFmtId="14" fontId="53" fillId="37" borderId="302" xfId="1" applyNumberFormat="1" applyFont="1" applyFill="1" applyBorder="1" applyAlignment="1">
      <alignment horizontal="center" vertical="center"/>
    </xf>
    <xf numFmtId="0" fontId="115" fillId="35" borderId="331" xfId="1" applyFont="1" applyFill="1" applyBorder="1" applyAlignment="1">
      <alignment horizontal="center"/>
    </xf>
    <xf numFmtId="3" fontId="50" fillId="35" borderId="331" xfId="1" applyNumberFormat="1" applyFont="1" applyFill="1" applyBorder="1" applyAlignment="1">
      <alignment horizontal="center" vertical="center"/>
    </xf>
    <xf numFmtId="0" fontId="113" fillId="33" borderId="347" xfId="1" applyFont="1" applyFill="1" applyBorder="1" applyAlignment="1">
      <alignment horizontal="center" vertical="center"/>
    </xf>
    <xf numFmtId="0" fontId="115" fillId="33" borderId="345" xfId="1" applyFont="1" applyFill="1" applyBorder="1" applyAlignment="1">
      <alignment horizontal="center"/>
    </xf>
    <xf numFmtId="0" fontId="162" fillId="34" borderId="27" xfId="1" applyFont="1" applyFill="1" applyBorder="1" applyAlignment="1">
      <alignment horizontal="center" vertical="center"/>
    </xf>
    <xf numFmtId="0" fontId="115" fillId="34" borderId="19" xfId="1" applyFont="1" applyFill="1" applyBorder="1" applyAlignment="1">
      <alignment horizontal="center"/>
    </xf>
    <xf numFmtId="0" fontId="23" fillId="35" borderId="348" xfId="15" applyFont="1" applyFill="1" applyBorder="1" applyAlignment="1">
      <alignment horizontal="left" vertical="center"/>
    </xf>
    <xf numFmtId="0" fontId="116" fillId="35" borderId="345" xfId="1" applyFont="1" applyFill="1" applyBorder="1" applyAlignment="1">
      <alignment horizontal="center"/>
    </xf>
    <xf numFmtId="0" fontId="162" fillId="37" borderId="27" xfId="1" applyFont="1" applyFill="1" applyBorder="1" applyAlignment="1">
      <alignment horizontal="center" vertical="center"/>
    </xf>
    <xf numFmtId="0" fontId="116" fillId="37" borderId="19" xfId="1" applyFont="1" applyFill="1" applyBorder="1" applyAlignment="1">
      <alignment horizontal="center"/>
    </xf>
    <xf numFmtId="0" fontId="162" fillId="37" borderId="347" xfId="1" applyFont="1" applyFill="1" applyBorder="1" applyAlignment="1">
      <alignment horizontal="center" vertical="center"/>
    </xf>
    <xf numFmtId="0" fontId="23" fillId="37" borderId="348" xfId="15" applyFont="1" applyFill="1" applyBorder="1" applyAlignment="1">
      <alignment horizontal="left" vertical="center"/>
    </xf>
    <xf numFmtId="0" fontId="115" fillId="37" borderId="345" xfId="1" applyFont="1" applyFill="1" applyBorder="1" applyAlignment="1">
      <alignment horizontal="center"/>
    </xf>
    <xf numFmtId="3" fontId="169" fillId="33" borderId="344" xfId="1" applyNumberFormat="1" applyFont="1" applyFill="1" applyBorder="1" applyAlignment="1">
      <alignment horizontal="center" vertical="center"/>
    </xf>
    <xf numFmtId="0" fontId="2" fillId="33" borderId="344" xfId="1" applyFont="1" applyFill="1" applyBorder="1" applyAlignment="1">
      <alignment horizontal="center" vertical="center"/>
    </xf>
    <xf numFmtId="3" fontId="50" fillId="34" borderId="303" xfId="1" applyNumberFormat="1" applyFont="1" applyFill="1" applyBorder="1" applyAlignment="1">
      <alignment horizontal="center" vertical="center"/>
    </xf>
    <xf numFmtId="3" fontId="169" fillId="34" borderId="303" xfId="1" applyNumberFormat="1" applyFont="1" applyFill="1" applyBorder="1" applyAlignment="1">
      <alignment horizontal="center" vertical="center"/>
    </xf>
    <xf numFmtId="3" fontId="53" fillId="34" borderId="303" xfId="1" applyNumberFormat="1" applyFont="1" applyFill="1" applyBorder="1" applyAlignment="1">
      <alignment horizontal="center" vertical="center"/>
    </xf>
    <xf numFmtId="0" fontId="2" fillId="34" borderId="303" xfId="1" applyFont="1" applyFill="1" applyBorder="1" applyAlignment="1">
      <alignment horizontal="center" vertical="center"/>
    </xf>
    <xf numFmtId="174" fontId="2" fillId="34" borderId="303" xfId="1" applyNumberFormat="1" applyFont="1" applyFill="1" applyBorder="1" applyAlignment="1">
      <alignment horizontal="center" vertical="center"/>
    </xf>
    <xf numFmtId="3" fontId="169" fillId="35" borderId="344" xfId="1" applyNumberFormat="1" applyFont="1" applyFill="1" applyBorder="1" applyAlignment="1">
      <alignment horizontal="center" vertical="center"/>
    </xf>
    <xf numFmtId="3" fontId="2" fillId="35" borderId="344" xfId="1" applyNumberFormat="1" applyFont="1" applyFill="1" applyBorder="1" applyAlignment="1">
      <alignment horizontal="left" vertical="center"/>
    </xf>
    <xf numFmtId="3" fontId="2" fillId="35" borderId="344" xfId="1" applyNumberFormat="1" applyFont="1" applyFill="1" applyBorder="1" applyAlignment="1">
      <alignment horizontal="center" vertical="center"/>
    </xf>
    <xf numFmtId="174" fontId="2" fillId="35" borderId="344" xfId="1" applyNumberFormat="1" applyFont="1" applyFill="1" applyBorder="1" applyAlignment="1">
      <alignment horizontal="center" vertical="center"/>
    </xf>
    <xf numFmtId="14" fontId="2" fillId="35" borderId="344" xfId="1" applyNumberFormat="1" applyFont="1" applyFill="1" applyBorder="1" applyAlignment="1">
      <alignment horizontal="center" vertical="center"/>
    </xf>
    <xf numFmtId="3" fontId="50" fillId="37" borderId="303" xfId="1" applyNumberFormat="1" applyFont="1" applyFill="1" applyBorder="1" applyAlignment="1">
      <alignment horizontal="center" vertical="center"/>
    </xf>
    <xf numFmtId="3" fontId="169" fillId="37" borderId="303" xfId="1" applyNumberFormat="1" applyFont="1" applyFill="1" applyBorder="1" applyAlignment="1">
      <alignment horizontal="center" vertical="center"/>
    </xf>
    <xf numFmtId="3" fontId="53" fillId="37" borderId="325" xfId="1" applyNumberFormat="1" applyFont="1" applyFill="1" applyBorder="1" applyAlignment="1">
      <alignment horizontal="left" vertical="center"/>
    </xf>
    <xf numFmtId="3" fontId="53" fillId="37" borderId="274" xfId="1" applyNumberFormat="1" applyFont="1" applyFill="1" applyBorder="1" applyAlignment="1">
      <alignment horizontal="center" vertical="center"/>
    </xf>
    <xf numFmtId="0" fontId="2" fillId="37" borderId="274" xfId="1" applyFont="1" applyFill="1" applyBorder="1" applyAlignment="1">
      <alignment horizontal="center" vertical="center"/>
    </xf>
    <xf numFmtId="174" fontId="53" fillId="37" borderId="274" xfId="1" applyNumberFormat="1" applyFont="1" applyFill="1" applyBorder="1" applyAlignment="1">
      <alignment horizontal="center" vertical="center"/>
    </xf>
    <xf numFmtId="14" fontId="53" fillId="37" borderId="274" xfId="1" applyNumberFormat="1" applyFont="1" applyFill="1" applyBorder="1" applyAlignment="1">
      <alignment horizontal="center" vertical="center"/>
    </xf>
    <xf numFmtId="14" fontId="53" fillId="37" borderId="336" xfId="1" applyNumberFormat="1" applyFont="1" applyFill="1" applyBorder="1" applyAlignment="1">
      <alignment horizontal="center" vertical="center"/>
    </xf>
    <xf numFmtId="3" fontId="169" fillId="37" borderId="344" xfId="1" applyNumberFormat="1" applyFont="1" applyFill="1" applyBorder="1" applyAlignment="1">
      <alignment horizontal="center" vertical="center"/>
    </xf>
    <xf numFmtId="3" fontId="2" fillId="37" borderId="344" xfId="1" applyNumberFormat="1" applyFont="1" applyFill="1" applyBorder="1" applyAlignment="1">
      <alignment horizontal="left" vertical="center"/>
    </xf>
    <xf numFmtId="3" fontId="2" fillId="37" borderId="344" xfId="1" applyNumberFormat="1" applyFont="1" applyFill="1" applyBorder="1" applyAlignment="1">
      <alignment horizontal="center" vertical="center"/>
    </xf>
    <xf numFmtId="0" fontId="2" fillId="37" borderId="344" xfId="1" applyFont="1" applyFill="1" applyBorder="1" applyAlignment="1">
      <alignment horizontal="center" vertical="center"/>
    </xf>
    <xf numFmtId="174" fontId="53" fillId="37" borderId="344" xfId="1" applyNumberFormat="1" applyFont="1" applyFill="1" applyBorder="1" applyAlignment="1">
      <alignment horizontal="center" vertical="center"/>
    </xf>
    <xf numFmtId="14" fontId="53" fillId="37" borderId="344" xfId="1" applyNumberFormat="1" applyFont="1" applyFill="1" applyBorder="1" applyAlignment="1">
      <alignment horizontal="center" vertical="center"/>
    </xf>
    <xf numFmtId="3" fontId="169" fillId="35" borderId="303" xfId="1" applyNumberFormat="1" applyFont="1" applyFill="1" applyBorder="1" applyAlignment="1">
      <alignment horizontal="center" vertical="center"/>
    </xf>
    <xf numFmtId="3" fontId="50" fillId="0" borderId="326" xfId="1" applyNumberFormat="1" applyFont="1" applyFill="1" applyBorder="1" applyAlignment="1">
      <alignment horizontal="center" vertical="center"/>
    </xf>
    <xf numFmtId="174" fontId="105" fillId="0" borderId="26" xfId="1" applyNumberFormat="1" applyFont="1" applyFill="1" applyBorder="1" applyAlignment="1">
      <alignment horizontal="center" vertical="center"/>
    </xf>
    <xf numFmtId="3" fontId="50" fillId="0" borderId="113" xfId="1" applyNumberFormat="1" applyFont="1" applyFill="1" applyBorder="1" applyAlignment="1">
      <alignment horizontal="center" vertical="center"/>
    </xf>
    <xf numFmtId="0" fontId="113" fillId="0" borderId="340" xfId="1" applyFont="1" applyFill="1" applyBorder="1" applyAlignment="1">
      <alignment horizontal="center" vertical="center"/>
    </xf>
    <xf numFmtId="0" fontId="162" fillId="0" borderId="30" xfId="1" applyFont="1" applyFill="1" applyBorder="1" applyAlignment="1">
      <alignment horizontal="center" vertical="center"/>
    </xf>
    <xf numFmtId="0" fontId="116" fillId="0" borderId="153" xfId="1" applyFont="1" applyFill="1" applyBorder="1" applyAlignment="1">
      <alignment horizontal="center"/>
    </xf>
    <xf numFmtId="0" fontId="115" fillId="0" borderId="32" xfId="1" applyFont="1" applyFill="1" applyBorder="1" applyAlignment="1">
      <alignment horizontal="center"/>
    </xf>
    <xf numFmtId="0" fontId="115" fillId="0" borderId="64" xfId="1" applyFont="1" applyFill="1" applyBorder="1" applyAlignment="1">
      <alignment horizontal="center" vertical="center"/>
    </xf>
    <xf numFmtId="3" fontId="2" fillId="0" borderId="67" xfId="1" applyNumberFormat="1" applyFont="1" applyFill="1" applyBorder="1" applyAlignment="1">
      <alignment horizontal="left" vertical="center"/>
    </xf>
    <xf numFmtId="3" fontId="108" fillId="0" borderId="61" xfId="1" applyNumberFormat="1" applyFont="1" applyFill="1" applyBorder="1" applyAlignment="1">
      <alignment horizontal="center" vertical="center"/>
    </xf>
    <xf numFmtId="3" fontId="108" fillId="0" borderId="67" xfId="1" applyNumberFormat="1" applyFont="1" applyFill="1" applyBorder="1" applyAlignment="1">
      <alignment horizontal="center" vertical="center"/>
    </xf>
    <xf numFmtId="0" fontId="108" fillId="0" borderId="61" xfId="1" applyFont="1" applyFill="1" applyBorder="1" applyAlignment="1">
      <alignment horizontal="center" vertical="center"/>
    </xf>
    <xf numFmtId="0" fontId="113" fillId="0" borderId="67" xfId="1" applyFont="1" applyFill="1" applyBorder="1" applyAlignment="1">
      <alignment horizontal="center" vertical="center"/>
    </xf>
    <xf numFmtId="3" fontId="50" fillId="0" borderId="352" xfId="1" applyNumberFormat="1" applyFont="1" applyFill="1" applyBorder="1" applyAlignment="1">
      <alignment horizontal="center" vertical="center"/>
    </xf>
    <xf numFmtId="0" fontId="113" fillId="0" borderId="357" xfId="1" applyFont="1" applyFill="1" applyBorder="1" applyAlignment="1">
      <alignment horizontal="center" vertical="center"/>
    </xf>
    <xf numFmtId="0" fontId="2" fillId="0" borderId="348" xfId="15" applyFont="1" applyFill="1" applyBorder="1" applyAlignment="1">
      <alignment horizontal="left" vertical="center"/>
    </xf>
    <xf numFmtId="0" fontId="116" fillId="0" borderId="114" xfId="1" applyFont="1" applyFill="1" applyBorder="1" applyAlignment="1">
      <alignment horizontal="center"/>
    </xf>
    <xf numFmtId="0" fontId="115" fillId="44" borderId="332" xfId="1" applyFont="1" applyFill="1" applyBorder="1" applyAlignment="1">
      <alignment horizontal="center" vertical="center"/>
    </xf>
    <xf numFmtId="0" fontId="115" fillId="4" borderId="2" xfId="1" applyFont="1" applyFill="1" applyBorder="1" applyAlignment="1">
      <alignment horizontal="center"/>
    </xf>
    <xf numFmtId="3" fontId="43" fillId="44" borderId="259" xfId="1" applyNumberFormat="1" applyFont="1" applyFill="1" applyBorder="1" applyAlignment="1">
      <alignment horizontal="center" vertical="center"/>
    </xf>
    <xf numFmtId="3" fontId="169" fillId="0" borderId="81" xfId="1" applyNumberFormat="1" applyFont="1" applyFill="1" applyBorder="1" applyAlignment="1">
      <alignment horizontal="center" vertical="center"/>
    </xf>
    <xf numFmtId="3" fontId="50" fillId="6" borderId="0" xfId="1" applyNumberFormat="1" applyFont="1" applyFill="1" applyBorder="1" applyAlignment="1">
      <alignment horizontal="center" vertical="center"/>
    </xf>
    <xf numFmtId="3" fontId="74" fillId="0" borderId="8" xfId="1" applyNumberFormat="1" applyFont="1" applyFill="1" applyBorder="1" applyAlignment="1">
      <alignment horizontal="center" vertical="center"/>
    </xf>
    <xf numFmtId="3" fontId="50" fillId="6" borderId="272" xfId="1" applyNumberFormat="1" applyFont="1" applyFill="1" applyBorder="1" applyAlignment="1">
      <alignment horizontal="center" vertical="center"/>
    </xf>
    <xf numFmtId="3" fontId="50" fillId="6" borderId="331" xfId="1" applyNumberFormat="1" applyFont="1" applyFill="1" applyBorder="1" applyAlignment="1">
      <alignment horizontal="center" vertical="center"/>
    </xf>
    <xf numFmtId="3" fontId="2" fillId="0" borderId="274" xfId="1" applyNumberFormat="1" applyFont="1" applyFill="1" applyBorder="1" applyAlignment="1">
      <alignment horizontal="left" vertical="center"/>
    </xf>
    <xf numFmtId="3" fontId="53" fillId="0" borderId="82" xfId="1" applyNumberFormat="1" applyFont="1" applyFill="1" applyBorder="1" applyAlignment="1">
      <alignment horizontal="left" vertical="center"/>
    </xf>
    <xf numFmtId="3" fontId="2" fillId="0" borderId="274" xfId="1" applyNumberFormat="1" applyFont="1" applyFill="1" applyBorder="1" applyAlignment="1">
      <alignment horizontal="center" vertical="center"/>
    </xf>
    <xf numFmtId="3" fontId="53" fillId="0" borderId="82" xfId="1" applyNumberFormat="1" applyFont="1" applyFill="1" applyBorder="1" applyAlignment="1">
      <alignment horizontal="center" vertical="center"/>
    </xf>
    <xf numFmtId="174" fontId="53" fillId="0" borderId="353" xfId="1" applyNumberFormat="1" applyFont="1" applyFill="1" applyBorder="1" applyAlignment="1">
      <alignment horizontal="center" vertical="center"/>
    </xf>
    <xf numFmtId="14" fontId="53" fillId="0" borderId="82" xfId="1" applyNumberFormat="1" applyFont="1" applyFill="1" applyBorder="1" applyAlignment="1">
      <alignment horizontal="center" vertical="center"/>
    </xf>
    <xf numFmtId="0" fontId="23" fillId="0" borderId="285" xfId="15" applyFont="1" applyFill="1" applyBorder="1" applyAlignment="1">
      <alignment horizontal="left" vertical="center"/>
    </xf>
    <xf numFmtId="0" fontId="115" fillId="0" borderId="78" xfId="1" applyFont="1" applyFill="1" applyBorder="1" applyAlignment="1">
      <alignment horizontal="center"/>
    </xf>
    <xf numFmtId="0" fontId="115" fillId="0" borderId="285" xfId="1" applyFont="1" applyFill="1" applyBorder="1" applyAlignment="1">
      <alignment horizontal="center"/>
    </xf>
    <xf numFmtId="0" fontId="115" fillId="0" borderId="8" xfId="1" applyFont="1" applyFill="1" applyBorder="1" applyAlignment="1">
      <alignment horizontal="center"/>
    </xf>
    <xf numFmtId="0" fontId="115" fillId="0" borderId="113" xfId="1" applyFont="1" applyFill="1" applyBorder="1" applyAlignment="1">
      <alignment horizontal="center"/>
    </xf>
    <xf numFmtId="174" fontId="105" fillId="0" borderId="72" xfId="1" applyNumberFormat="1" applyFont="1" applyFill="1" applyBorder="1" applyAlignment="1">
      <alignment horizontal="center" vertical="center"/>
    </xf>
    <xf numFmtId="3" fontId="2" fillId="0" borderId="26" xfId="1" applyNumberFormat="1" applyFont="1" applyFill="1" applyBorder="1" applyAlignment="1">
      <alignment horizontal="left" vertical="center"/>
    </xf>
    <xf numFmtId="3" fontId="2" fillId="0" borderId="26" xfId="1" applyNumberFormat="1" applyFont="1" applyFill="1" applyBorder="1" applyAlignment="1">
      <alignment horizontal="center" vertical="center"/>
    </xf>
    <xf numFmtId="3" fontId="53" fillId="0" borderId="282" xfId="1" applyNumberFormat="1" applyFont="1" applyFill="1" applyBorder="1" applyAlignment="1">
      <alignment horizontal="left" vertical="center"/>
    </xf>
    <xf numFmtId="14" fontId="53" fillId="0" borderId="282" xfId="1" applyNumberFormat="1" applyFont="1" applyFill="1" applyBorder="1" applyAlignment="1">
      <alignment horizontal="center" vertical="center"/>
    </xf>
    <xf numFmtId="2" fontId="53" fillId="0" borderId="288" xfId="1" applyNumberFormat="1" applyFont="1" applyFill="1" applyBorder="1" applyAlignment="1">
      <alignment horizontal="center" vertical="center"/>
    </xf>
    <xf numFmtId="3" fontId="108" fillId="0" borderId="193" xfId="1" applyNumberFormat="1" applyFont="1" applyFill="1" applyBorder="1" applyAlignment="1">
      <alignment horizontal="center" vertical="center"/>
    </xf>
    <xf numFmtId="0" fontId="108" fillId="0" borderId="193" xfId="1" applyFont="1" applyFill="1" applyBorder="1" applyAlignment="1">
      <alignment horizontal="center" vertical="center"/>
    </xf>
    <xf numFmtId="0" fontId="108" fillId="0" borderId="82" xfId="1" applyFont="1" applyFill="1" applyBorder="1" applyAlignment="1">
      <alignment horizontal="center" vertical="center"/>
    </xf>
    <xf numFmtId="174" fontId="53" fillId="0" borderId="82" xfId="1" applyNumberFormat="1" applyFont="1" applyFill="1" applyBorder="1" applyAlignment="1">
      <alignment horizontal="center" vertical="center"/>
    </xf>
    <xf numFmtId="0" fontId="108" fillId="0" borderId="26" xfId="1" applyFont="1" applyFill="1" applyBorder="1" applyAlignment="1">
      <alignment horizontal="center" vertical="center"/>
    </xf>
    <xf numFmtId="3" fontId="53" fillId="44" borderId="84" xfId="1" applyNumberFormat="1" applyFont="1" applyFill="1" applyBorder="1" applyAlignment="1">
      <alignment horizontal="left" vertical="center"/>
    </xf>
    <xf numFmtId="3" fontId="108" fillId="44" borderId="85" xfId="1" applyNumberFormat="1" applyFont="1" applyFill="1" applyBorder="1" applyAlignment="1">
      <alignment horizontal="center" vertical="center"/>
    </xf>
    <xf numFmtId="0" fontId="108" fillId="44" borderId="85" xfId="1" applyFont="1" applyFill="1" applyBorder="1" applyAlignment="1">
      <alignment horizontal="center" vertical="center"/>
    </xf>
    <xf numFmtId="174" fontId="53" fillId="44" borderId="85" xfId="1" applyNumberFormat="1" applyFont="1" applyFill="1" applyBorder="1" applyAlignment="1">
      <alignment horizontal="center" vertical="center"/>
    </xf>
    <xf numFmtId="14" fontId="53" fillId="44" borderId="85" xfId="1" applyNumberFormat="1" applyFont="1" applyFill="1" applyBorder="1" applyAlignment="1">
      <alignment horizontal="center" vertical="center"/>
    </xf>
    <xf numFmtId="14" fontId="53" fillId="44" borderId="86" xfId="1" applyNumberFormat="1" applyFont="1" applyFill="1" applyBorder="1" applyAlignment="1">
      <alignment horizontal="center" vertical="center"/>
    </xf>
    <xf numFmtId="2" fontId="53" fillId="44" borderId="112" xfId="1" applyNumberFormat="1" applyFont="1" applyFill="1" applyBorder="1" applyAlignment="1">
      <alignment horizontal="center" vertical="center"/>
    </xf>
    <xf numFmtId="3" fontId="50" fillId="44" borderId="300" xfId="1" applyNumberFormat="1" applyFont="1" applyFill="1" applyBorder="1" applyAlignment="1">
      <alignment horizontal="center" vertical="center"/>
    </xf>
    <xf numFmtId="3" fontId="50" fillId="44" borderId="28" xfId="1" applyNumberFormat="1" applyFont="1" applyFill="1" applyBorder="1" applyAlignment="1">
      <alignment horizontal="center" vertical="center"/>
    </xf>
    <xf numFmtId="0" fontId="162" fillId="44" borderId="30" xfId="1" applyFont="1" applyFill="1" applyBorder="1" applyAlignment="1">
      <alignment horizontal="center" vertical="center"/>
    </xf>
    <xf numFmtId="0" fontId="23" fillId="44" borderId="78" xfId="15" applyFont="1" applyFill="1" applyBorder="1" applyAlignment="1">
      <alignment horizontal="left" vertical="center"/>
    </xf>
    <xf numFmtId="3" fontId="50" fillId="0" borderId="349" xfId="1" applyNumberFormat="1" applyFont="1" applyFill="1" applyBorder="1" applyAlignment="1">
      <alignment horizontal="center" vertical="center"/>
    </xf>
    <xf numFmtId="0" fontId="23" fillId="0" borderId="360" xfId="15" applyFill="1" applyBorder="1" applyAlignment="1">
      <alignment horizontal="left" vertical="center"/>
    </xf>
    <xf numFmtId="0" fontId="25" fillId="0" borderId="348" xfId="1" applyFont="1" applyFill="1" applyBorder="1" applyAlignment="1">
      <alignment horizontal="center" vertical="center"/>
    </xf>
    <xf numFmtId="3" fontId="18" fillId="0" borderId="361" xfId="1" applyNumberFormat="1" applyFont="1" applyFill="1" applyBorder="1" applyAlignment="1">
      <alignment horizontal="center" vertical="center"/>
    </xf>
    <xf numFmtId="3" fontId="18" fillId="0" borderId="362" xfId="1" applyNumberFormat="1" applyFont="1" applyFill="1" applyBorder="1" applyAlignment="1">
      <alignment horizontal="center" vertical="center"/>
    </xf>
    <xf numFmtId="3" fontId="18" fillId="0" borderId="303" xfId="1" applyNumberFormat="1" applyFont="1" applyFill="1" applyBorder="1" applyAlignment="1">
      <alignment horizontal="center" vertical="center"/>
    </xf>
    <xf numFmtId="0" fontId="109" fillId="41" borderId="256" xfId="15" applyFont="1" applyFill="1" applyBorder="1" applyAlignment="1">
      <alignment horizontal="left" vertical="center"/>
    </xf>
    <xf numFmtId="0" fontId="23" fillId="38" borderId="360" xfId="15" applyFill="1" applyBorder="1" applyAlignment="1">
      <alignment horizontal="left" vertical="center"/>
    </xf>
    <xf numFmtId="0" fontId="127" fillId="0" borderId="92" xfId="15" applyFont="1" applyFill="1" applyBorder="1" applyAlignment="1">
      <alignment horizontal="left" vertical="center"/>
    </xf>
    <xf numFmtId="0" fontId="23" fillId="0" borderId="5" xfId="15" applyFill="1" applyBorder="1" applyAlignment="1">
      <alignment vertical="center"/>
    </xf>
    <xf numFmtId="0" fontId="2" fillId="0" borderId="186" xfId="1" applyFont="1" applyFill="1" applyBorder="1" applyAlignment="1">
      <alignment horizontal="left" vertical="center"/>
    </xf>
    <xf numFmtId="0" fontId="23" fillId="0" borderId="266" xfId="15" applyFont="1" applyFill="1" applyBorder="1" applyAlignment="1">
      <alignment horizontal="left" vertical="center"/>
    </xf>
    <xf numFmtId="0" fontId="23" fillId="0" borderId="5" xfId="15" applyFont="1" applyFill="1" applyBorder="1" applyAlignment="1">
      <alignment vertical="center"/>
    </xf>
    <xf numFmtId="0" fontId="127" fillId="0" borderId="5" xfId="15" applyFont="1" applyFill="1" applyBorder="1" applyAlignment="1">
      <alignment horizontal="left" vertical="center"/>
    </xf>
    <xf numFmtId="0" fontId="74" fillId="0" borderId="348" xfId="1" applyFont="1" applyFill="1" applyBorder="1" applyAlignment="1">
      <alignment horizontal="center" vertical="center"/>
    </xf>
    <xf numFmtId="173" fontId="132" fillId="0" borderId="272" xfId="1" applyNumberFormat="1" applyFont="1" applyBorder="1" applyAlignment="1">
      <alignment horizontal="center" vertical="center"/>
    </xf>
    <xf numFmtId="3" fontId="17" fillId="0" borderId="258" xfId="1" applyNumberFormat="1" applyFont="1" applyFill="1" applyBorder="1" applyAlignment="1">
      <alignment horizontal="center" vertical="center"/>
    </xf>
    <xf numFmtId="0" fontId="23" fillId="0" borderId="360" xfId="15" applyFont="1" applyFill="1" applyBorder="1" applyAlignment="1">
      <alignment horizontal="left" vertical="center"/>
    </xf>
    <xf numFmtId="0" fontId="53" fillId="0" borderId="65" xfId="1" applyFont="1" applyFill="1" applyBorder="1" applyAlignment="1">
      <alignment horizontal="left" vertical="center"/>
    </xf>
    <xf numFmtId="3" fontId="2" fillId="0" borderId="5" xfId="15" applyNumberFormat="1" applyFont="1" applyFill="1" applyBorder="1" applyAlignment="1">
      <alignment horizontal="left" vertical="center"/>
    </xf>
    <xf numFmtId="3" fontId="53" fillId="0" borderId="5" xfId="1" applyNumberFormat="1" applyFont="1" applyFill="1" applyBorder="1" applyAlignment="1">
      <alignment horizontal="left" vertical="center"/>
    </xf>
    <xf numFmtId="3" fontId="64" fillId="0" borderId="363" xfId="1" applyNumberFormat="1" applyFont="1" applyFill="1" applyBorder="1" applyAlignment="1">
      <alignment horizontal="center" vertical="center"/>
    </xf>
    <xf numFmtId="3" fontId="170" fillId="0" borderId="275" xfId="1" applyNumberFormat="1" applyFont="1" applyFill="1" applyBorder="1" applyAlignment="1">
      <alignment horizontal="center" vertical="center"/>
    </xf>
    <xf numFmtId="0" fontId="113" fillId="0" borderId="30" xfId="1" applyFont="1" applyFill="1" applyBorder="1" applyAlignment="1">
      <alignment horizontal="center" vertical="center"/>
    </xf>
    <xf numFmtId="0" fontId="162" fillId="0" borderId="66" xfId="1" applyFont="1" applyFill="1" applyBorder="1" applyAlignment="1">
      <alignment horizontal="center" vertical="center"/>
    </xf>
    <xf numFmtId="3" fontId="50" fillId="0" borderId="83" xfId="1" applyNumberFormat="1" applyFont="1" applyFill="1" applyBorder="1" applyAlignment="1">
      <alignment horizontal="center" vertical="center"/>
    </xf>
    <xf numFmtId="3" fontId="53" fillId="0" borderId="67" xfId="1" applyNumberFormat="1" applyFont="1" applyFill="1" applyBorder="1" applyAlignment="1">
      <alignment horizontal="left" vertical="center"/>
    </xf>
    <xf numFmtId="0" fontId="2" fillId="0" borderId="73" xfId="1" applyFont="1" applyBorder="1" applyAlignment="1">
      <alignment horizontal="left" vertical="center" wrapText="1"/>
    </xf>
    <xf numFmtId="0" fontId="2" fillId="0" borderId="67" xfId="1" applyFont="1" applyFill="1" applyBorder="1" applyAlignment="1">
      <alignment horizontal="center" vertical="center"/>
    </xf>
    <xf numFmtId="0" fontId="113" fillId="0" borderId="284" xfId="1" applyFont="1" applyFill="1" applyBorder="1" applyAlignment="1">
      <alignment horizontal="center" vertical="center"/>
    </xf>
    <xf numFmtId="0" fontId="115" fillId="0" borderId="24" xfId="1" applyFont="1" applyFill="1" applyBorder="1" applyAlignment="1">
      <alignment horizontal="center" vertical="center"/>
    </xf>
    <xf numFmtId="3" fontId="48" fillId="6" borderId="199" xfId="1" applyNumberFormat="1" applyFont="1" applyFill="1" applyBorder="1" applyAlignment="1">
      <alignment horizontal="center" vertical="center"/>
    </xf>
    <xf numFmtId="3" fontId="74" fillId="0" borderId="271" xfId="1" applyNumberFormat="1" applyFont="1" applyFill="1" applyBorder="1" applyAlignment="1">
      <alignment horizontal="center" vertical="center" wrapText="1"/>
    </xf>
    <xf numFmtId="3" fontId="50" fillId="0" borderId="32" xfId="1" applyNumberFormat="1" applyFont="1" applyFill="1" applyBorder="1" applyAlignment="1">
      <alignment horizontal="center" vertical="center"/>
    </xf>
    <xf numFmtId="3" fontId="169" fillId="0" borderId="286" xfId="1" applyNumberFormat="1" applyFont="1" applyFill="1" applyBorder="1" applyAlignment="1">
      <alignment horizontal="center" vertical="center"/>
    </xf>
    <xf numFmtId="0" fontId="74" fillId="0" borderId="29" xfId="1" applyFont="1" applyFill="1" applyBorder="1" applyAlignment="1">
      <alignment horizontal="center" vertical="center" wrapText="1"/>
    </xf>
    <xf numFmtId="3" fontId="125" fillId="0" borderId="274" xfId="1" applyNumberFormat="1" applyFont="1" applyFill="1" applyBorder="1" applyAlignment="1">
      <alignment horizontal="center" vertical="center"/>
    </xf>
    <xf numFmtId="3" fontId="74" fillId="0" borderId="283" xfId="1" applyNumberFormat="1" applyFont="1" applyFill="1" applyBorder="1" applyAlignment="1">
      <alignment horizontal="center" vertical="center"/>
    </xf>
    <xf numFmtId="3" fontId="74" fillId="0" borderId="282" xfId="1" applyNumberFormat="1" applyFont="1" applyFill="1" applyBorder="1" applyAlignment="1">
      <alignment horizontal="center" vertical="center"/>
    </xf>
    <xf numFmtId="3" fontId="120" fillId="0" borderId="282" xfId="1" applyNumberFormat="1" applyFont="1" applyFill="1" applyBorder="1" applyAlignment="1">
      <alignment horizontal="center" vertical="center"/>
    </xf>
    <xf numFmtId="3" fontId="120" fillId="0" borderId="287" xfId="1" applyNumberFormat="1" applyFont="1" applyFill="1" applyBorder="1" applyAlignment="1">
      <alignment horizontal="center" vertical="center"/>
    </xf>
    <xf numFmtId="3" fontId="53" fillId="0" borderId="282" xfId="1" applyNumberFormat="1" applyFont="1" applyFill="1" applyBorder="1" applyAlignment="1">
      <alignment horizontal="center" vertical="center"/>
    </xf>
    <xf numFmtId="3" fontId="108" fillId="0" borderId="82" xfId="1" applyNumberFormat="1" applyFont="1" applyFill="1" applyBorder="1" applyAlignment="1">
      <alignment horizontal="center" vertical="center"/>
    </xf>
    <xf numFmtId="0" fontId="2" fillId="0" borderId="282" xfId="1" applyFont="1" applyFill="1" applyBorder="1" applyAlignment="1">
      <alignment horizontal="center" vertical="center"/>
    </xf>
    <xf numFmtId="174" fontId="105" fillId="0" borderId="282" xfId="1" applyNumberFormat="1" applyFont="1" applyFill="1" applyBorder="1" applyAlignment="1">
      <alignment horizontal="center" vertical="center"/>
    </xf>
    <xf numFmtId="0" fontId="162" fillId="6" borderId="27" xfId="1" applyFont="1" applyFill="1" applyBorder="1" applyAlignment="1">
      <alignment horizontal="center" vertical="center"/>
    </xf>
    <xf numFmtId="0" fontId="116" fillId="9" borderId="0" xfId="1" applyFont="1" applyFill="1" applyBorder="1" applyAlignment="1">
      <alignment horizontal="center"/>
    </xf>
    <xf numFmtId="3" fontId="125" fillId="9" borderId="271" xfId="1" applyNumberFormat="1" applyFont="1" applyFill="1" applyBorder="1" applyAlignment="1">
      <alignment horizontal="center" vertical="center"/>
    </xf>
    <xf numFmtId="3" fontId="169" fillId="10" borderId="272" xfId="1" applyNumberFormat="1" applyFont="1" applyFill="1" applyBorder="1" applyAlignment="1">
      <alignment horizontal="center" vertical="center"/>
    </xf>
    <xf numFmtId="3" fontId="125" fillId="9" borderId="29" xfId="1" applyNumberFormat="1" applyFont="1" applyFill="1" applyBorder="1" applyAlignment="1">
      <alignment horizontal="center" vertical="center"/>
    </xf>
    <xf numFmtId="3" fontId="169" fillId="6" borderId="291" xfId="1" applyNumberFormat="1" applyFont="1" applyFill="1" applyBorder="1" applyAlignment="1">
      <alignment horizontal="center" vertical="center" wrapText="1"/>
    </xf>
    <xf numFmtId="0" fontId="2" fillId="8" borderId="73" xfId="1" applyFont="1" applyFill="1" applyBorder="1" applyAlignment="1">
      <alignment horizontal="center" vertical="center"/>
    </xf>
    <xf numFmtId="174" fontId="2" fillId="9" borderId="73" xfId="1" applyNumberFormat="1" applyFont="1" applyFill="1" applyBorder="1" applyAlignment="1">
      <alignment horizontal="center" vertical="center"/>
    </xf>
    <xf numFmtId="0" fontId="46" fillId="0" borderId="13" xfId="1" applyFont="1" applyFill="1" applyBorder="1" applyAlignment="1">
      <alignment horizontal="center" vertical="center"/>
    </xf>
    <xf numFmtId="0" fontId="112" fillId="0" borderId="78" xfId="1" applyFont="1" applyFill="1" applyBorder="1" applyAlignment="1">
      <alignment horizontal="left" vertical="center"/>
    </xf>
    <xf numFmtId="0" fontId="23" fillId="0" borderId="309" xfId="15" applyFont="1" applyFill="1" applyBorder="1" applyAlignment="1">
      <alignment horizontal="left" vertical="center"/>
    </xf>
    <xf numFmtId="0" fontId="23" fillId="0" borderId="335" xfId="15" applyFont="1" applyFill="1" applyBorder="1" applyAlignment="1">
      <alignment horizontal="left" vertical="center"/>
    </xf>
    <xf numFmtId="0" fontId="109" fillId="22" borderId="0" xfId="15" applyFont="1" applyFill="1" applyBorder="1" applyAlignment="1">
      <alignment horizontal="left" vertical="center"/>
    </xf>
    <xf numFmtId="0" fontId="107" fillId="22" borderId="277" xfId="15" applyFont="1" applyFill="1" applyBorder="1" applyAlignment="1">
      <alignment horizontal="left" vertical="center"/>
    </xf>
    <xf numFmtId="3" fontId="23" fillId="0" borderId="0" xfId="15" applyNumberFormat="1" applyFill="1" applyAlignment="1">
      <alignment horizontal="center"/>
    </xf>
    <xf numFmtId="0" fontId="23" fillId="0" borderId="0" xfId="15" applyNumberFormat="1" applyFill="1" applyBorder="1" applyAlignment="1" applyProtection="1">
      <alignment horizontal="center" vertical="center"/>
    </xf>
    <xf numFmtId="3" fontId="43" fillId="0" borderId="296" xfId="1" applyNumberFormat="1" applyFont="1" applyFill="1" applyBorder="1" applyAlignment="1">
      <alignment horizontal="center" vertical="center"/>
    </xf>
    <xf numFmtId="3" fontId="43" fillId="0" borderId="367" xfId="1" applyNumberFormat="1" applyFont="1" applyFill="1" applyBorder="1" applyAlignment="1">
      <alignment horizontal="center" vertical="center"/>
    </xf>
    <xf numFmtId="3" fontId="43" fillId="6" borderId="259" xfId="1" applyNumberFormat="1" applyFont="1" applyFill="1" applyBorder="1" applyAlignment="1">
      <alignment horizontal="center" vertical="center"/>
    </xf>
    <xf numFmtId="3" fontId="43" fillId="6" borderId="367" xfId="1" applyNumberFormat="1" applyFont="1" applyFill="1" applyBorder="1" applyAlignment="1">
      <alignment horizontal="center" vertical="center"/>
    </xf>
    <xf numFmtId="3" fontId="43" fillId="6" borderId="311" xfId="1" applyNumberFormat="1" applyFont="1" applyFill="1" applyBorder="1" applyAlignment="1">
      <alignment horizontal="center" vertical="center"/>
    </xf>
    <xf numFmtId="3" fontId="43" fillId="9" borderId="259" xfId="1" applyNumberFormat="1" applyFont="1" applyFill="1" applyBorder="1" applyAlignment="1">
      <alignment horizontal="center" vertical="center"/>
    </xf>
    <xf numFmtId="3" fontId="43" fillId="7" borderId="259" xfId="1" applyNumberFormat="1" applyFont="1" applyFill="1" applyBorder="1" applyAlignment="1">
      <alignment horizontal="center" vertical="center"/>
    </xf>
    <xf numFmtId="3" fontId="43" fillId="10" borderId="259" xfId="1" applyNumberFormat="1" applyFont="1" applyFill="1" applyBorder="1" applyAlignment="1">
      <alignment horizontal="center" vertical="center"/>
    </xf>
    <xf numFmtId="3" fontId="43" fillId="9" borderId="311" xfId="1" applyNumberFormat="1" applyFont="1" applyFill="1" applyBorder="1" applyAlignment="1">
      <alignment horizontal="center" vertical="center"/>
    </xf>
    <xf numFmtId="3" fontId="43" fillId="8" borderId="259" xfId="1" applyNumberFormat="1" applyFont="1" applyFill="1" applyBorder="1" applyAlignment="1">
      <alignment horizontal="center" vertical="center"/>
    </xf>
    <xf numFmtId="3" fontId="43" fillId="8" borderId="311" xfId="1" applyNumberFormat="1" applyFont="1" applyFill="1" applyBorder="1" applyAlignment="1">
      <alignment horizontal="center" vertical="center"/>
    </xf>
    <xf numFmtId="3" fontId="43" fillId="10" borderId="311" xfId="1" applyNumberFormat="1" applyFont="1" applyFill="1" applyBorder="1" applyAlignment="1">
      <alignment horizontal="center" vertical="center"/>
    </xf>
    <xf numFmtId="3" fontId="43" fillId="8" borderId="296" xfId="1" applyNumberFormat="1" applyFont="1" applyFill="1" applyBorder="1" applyAlignment="1">
      <alignment horizontal="center" vertical="center"/>
    </xf>
    <xf numFmtId="3" fontId="43" fillId="39" borderId="259" xfId="1" applyNumberFormat="1" applyFont="1" applyFill="1" applyBorder="1" applyAlignment="1">
      <alignment horizontal="center" vertical="center"/>
    </xf>
    <xf numFmtId="3" fontId="43" fillId="35" borderId="259" xfId="1" applyNumberFormat="1" applyFont="1" applyFill="1" applyBorder="1" applyAlignment="1">
      <alignment horizontal="center" vertical="center"/>
    </xf>
    <xf numFmtId="3" fontId="43" fillId="33" borderId="311" xfId="1" applyNumberFormat="1" applyFont="1" applyFill="1" applyBorder="1" applyAlignment="1">
      <alignment horizontal="center" vertical="center"/>
    </xf>
    <xf numFmtId="3" fontId="43" fillId="35" borderId="311" xfId="1" applyNumberFormat="1" applyFont="1" applyFill="1" applyBorder="1" applyAlignment="1">
      <alignment horizontal="center" vertical="center"/>
    </xf>
    <xf numFmtId="3" fontId="43" fillId="36" borderId="259" xfId="1" applyNumberFormat="1" applyFont="1" applyFill="1" applyBorder="1" applyAlignment="1">
      <alignment horizontal="center" vertical="center"/>
    </xf>
    <xf numFmtId="3" fontId="43" fillId="35" borderId="296" xfId="1" applyNumberFormat="1" applyFont="1" applyFill="1" applyBorder="1" applyAlignment="1">
      <alignment horizontal="center" vertical="center"/>
    </xf>
    <xf numFmtId="3" fontId="43" fillId="36" borderId="348" xfId="1" applyNumberFormat="1" applyFont="1" applyFill="1" applyBorder="1" applyAlignment="1">
      <alignment horizontal="center" vertical="center"/>
    </xf>
    <xf numFmtId="3" fontId="43" fillId="37" borderId="296" xfId="1" applyNumberFormat="1" applyFont="1" applyFill="1" applyBorder="1" applyAlignment="1">
      <alignment horizontal="center" vertical="center"/>
    </xf>
    <xf numFmtId="3" fontId="43" fillId="33" borderId="259" xfId="1" applyNumberFormat="1" applyFont="1" applyFill="1" applyBorder="1" applyAlignment="1">
      <alignment horizontal="center" vertical="center"/>
    </xf>
    <xf numFmtId="3" fontId="43" fillId="37" borderId="259" xfId="1" applyNumberFormat="1" applyFont="1" applyFill="1" applyBorder="1" applyAlignment="1">
      <alignment horizontal="center" vertical="center"/>
    </xf>
    <xf numFmtId="3" fontId="43" fillId="33" borderId="348" xfId="1" applyNumberFormat="1" applyFont="1" applyFill="1" applyBorder="1" applyAlignment="1">
      <alignment horizontal="center" vertical="center"/>
    </xf>
    <xf numFmtId="3" fontId="43" fillId="35" borderId="348" xfId="1" applyNumberFormat="1" applyFont="1" applyFill="1" applyBorder="1" applyAlignment="1">
      <alignment horizontal="center" vertical="center"/>
    </xf>
    <xf numFmtId="3" fontId="43" fillId="37" borderId="4" xfId="1" applyNumberFormat="1" applyFont="1" applyFill="1" applyBorder="1" applyAlignment="1">
      <alignment horizontal="center" vertical="center"/>
    </xf>
    <xf numFmtId="3" fontId="43" fillId="37" borderId="348" xfId="1" applyNumberFormat="1" applyFont="1" applyFill="1" applyBorder="1" applyAlignment="1">
      <alignment horizontal="center" vertical="center"/>
    </xf>
    <xf numFmtId="3" fontId="43" fillId="35" borderId="4" xfId="1" applyNumberFormat="1" applyFont="1" applyFill="1" applyBorder="1" applyAlignment="1">
      <alignment horizontal="center" vertical="center"/>
    </xf>
    <xf numFmtId="3" fontId="43" fillId="35" borderId="202" xfId="1" applyNumberFormat="1" applyFont="1" applyFill="1" applyBorder="1" applyAlignment="1">
      <alignment horizontal="center" vertical="center"/>
    </xf>
    <xf numFmtId="3" fontId="43" fillId="34" borderId="348" xfId="1" applyNumberFormat="1" applyFont="1" applyFill="1" applyBorder="1" applyAlignment="1">
      <alignment horizontal="center" vertical="center"/>
    </xf>
    <xf numFmtId="3" fontId="43" fillId="36" borderId="202" xfId="1" applyNumberFormat="1" applyFont="1" applyFill="1" applyBorder="1" applyAlignment="1">
      <alignment horizontal="center" vertical="center"/>
    </xf>
    <xf numFmtId="3" fontId="43" fillId="33" borderId="360" xfId="1" applyNumberFormat="1" applyFont="1" applyFill="1" applyBorder="1" applyAlignment="1">
      <alignment horizontal="center" vertical="center"/>
    </xf>
    <xf numFmtId="3" fontId="43" fillId="36" borderId="304" xfId="1" applyNumberFormat="1" applyFont="1" applyFill="1" applyBorder="1" applyAlignment="1">
      <alignment horizontal="center" vertical="center"/>
    </xf>
    <xf numFmtId="3" fontId="43" fillId="12" borderId="365" xfId="1" applyNumberFormat="1" applyFont="1" applyFill="1" applyBorder="1" applyAlignment="1">
      <alignment horizontal="center" vertical="center"/>
    </xf>
    <xf numFmtId="3" fontId="43" fillId="15" borderId="348" xfId="1" applyNumberFormat="1" applyFont="1" applyFill="1" applyBorder="1" applyAlignment="1">
      <alignment horizontal="center" vertical="center"/>
    </xf>
    <xf numFmtId="3" fontId="43" fillId="15" borderId="202" xfId="1" applyNumberFormat="1" applyFont="1" applyFill="1" applyBorder="1" applyAlignment="1">
      <alignment horizontal="center" vertical="center"/>
    </xf>
    <xf numFmtId="3" fontId="43" fillId="14" borderId="202" xfId="1" applyNumberFormat="1" applyFont="1" applyFill="1" applyBorder="1" applyAlignment="1">
      <alignment horizontal="center" vertical="center"/>
    </xf>
    <xf numFmtId="3" fontId="43" fillId="16" borderId="348" xfId="1" applyNumberFormat="1" applyFont="1" applyFill="1" applyBorder="1" applyAlignment="1">
      <alignment horizontal="center" vertical="center"/>
    </xf>
    <xf numFmtId="3" fontId="43" fillId="13" borderId="348" xfId="1" applyNumberFormat="1" applyFont="1" applyFill="1" applyBorder="1" applyAlignment="1">
      <alignment horizontal="center" vertical="center"/>
    </xf>
    <xf numFmtId="3" fontId="43" fillId="16" borderId="202" xfId="1" applyNumberFormat="1" applyFont="1" applyFill="1" applyBorder="1" applyAlignment="1">
      <alignment horizontal="center" vertical="center"/>
    </xf>
    <xf numFmtId="3" fontId="43" fillId="22" borderId="348" xfId="1" applyNumberFormat="1" applyFont="1" applyFill="1" applyBorder="1" applyAlignment="1">
      <alignment horizontal="center" vertical="center"/>
    </xf>
    <xf numFmtId="3" fontId="43" fillId="19" borderId="348" xfId="1" applyNumberFormat="1" applyFont="1" applyFill="1" applyBorder="1" applyAlignment="1">
      <alignment horizontal="center" vertical="center"/>
    </xf>
    <xf numFmtId="3" fontId="43" fillId="19" borderId="365" xfId="1" applyNumberFormat="1" applyFont="1" applyFill="1" applyBorder="1" applyAlignment="1">
      <alignment horizontal="center" vertical="center"/>
    </xf>
    <xf numFmtId="3" fontId="43" fillId="3" borderId="202" xfId="1" applyNumberFormat="1" applyFont="1" applyFill="1" applyBorder="1" applyAlignment="1">
      <alignment horizontal="center" vertical="center"/>
    </xf>
    <xf numFmtId="3" fontId="43" fillId="22" borderId="202" xfId="1" applyNumberFormat="1" applyFont="1" applyFill="1" applyBorder="1" applyAlignment="1">
      <alignment horizontal="center" vertical="center"/>
    </xf>
    <xf numFmtId="3" fontId="43" fillId="24" borderId="348" xfId="1" applyNumberFormat="1" applyFont="1" applyFill="1" applyBorder="1" applyAlignment="1">
      <alignment horizontal="center" vertical="center"/>
    </xf>
    <xf numFmtId="3" fontId="43" fillId="22" borderId="360" xfId="1" applyNumberFormat="1" applyFont="1" applyFill="1" applyBorder="1" applyAlignment="1">
      <alignment horizontal="center" vertical="center"/>
    </xf>
    <xf numFmtId="3" fontId="43" fillId="19" borderId="202" xfId="1" applyNumberFormat="1" applyFont="1" applyFill="1" applyBorder="1" applyAlignment="1">
      <alignment horizontal="center" vertical="center"/>
    </xf>
    <xf numFmtId="3" fontId="43" fillId="3" borderId="360" xfId="1" applyNumberFormat="1" applyFont="1" applyFill="1" applyBorder="1" applyAlignment="1">
      <alignment horizontal="center" vertical="center"/>
    </xf>
    <xf numFmtId="3" fontId="105" fillId="28" borderId="4" xfId="1" applyNumberFormat="1" applyFont="1" applyFill="1" applyBorder="1" applyAlignment="1">
      <alignment horizontal="center" vertical="center"/>
    </xf>
    <xf numFmtId="3" fontId="113" fillId="29" borderId="202" xfId="1" applyNumberFormat="1" applyFont="1" applyFill="1" applyBorder="1" applyAlignment="1">
      <alignment horizontal="center" vertical="center"/>
    </xf>
    <xf numFmtId="3" fontId="113" fillId="29" borderId="348" xfId="1" applyNumberFormat="1" applyFont="1" applyFill="1" applyBorder="1" applyAlignment="1">
      <alignment horizontal="center" vertical="center"/>
    </xf>
    <xf numFmtId="3" fontId="108" fillId="29" borderId="4" xfId="1" applyNumberFormat="1" applyFont="1" applyFill="1" applyBorder="1" applyAlignment="1">
      <alignment horizontal="center" vertical="center"/>
    </xf>
    <xf numFmtId="3" fontId="108" fillId="29" borderId="0" xfId="1" applyNumberFormat="1" applyFont="1" applyFill="1" applyBorder="1" applyAlignment="1">
      <alignment horizontal="center" vertical="center"/>
    </xf>
    <xf numFmtId="3" fontId="108" fillId="27" borderId="0" xfId="1" applyNumberFormat="1" applyFont="1" applyFill="1" applyBorder="1" applyAlignment="1">
      <alignment horizontal="center" vertical="center"/>
    </xf>
    <xf numFmtId="3" fontId="108" fillId="27" borderId="348" xfId="1" applyNumberFormat="1" applyFont="1" applyFill="1" applyBorder="1" applyAlignment="1">
      <alignment horizontal="center" vertical="center"/>
    </xf>
    <xf numFmtId="3" fontId="113" fillId="28" borderId="4" xfId="1" applyNumberFormat="1" applyFont="1" applyFill="1" applyBorder="1" applyAlignment="1">
      <alignment horizontal="center" vertical="center"/>
    </xf>
    <xf numFmtId="3" fontId="113" fillId="27" borderId="0" xfId="1" applyNumberFormat="1" applyFont="1" applyFill="1" applyBorder="1" applyAlignment="1">
      <alignment horizontal="center" vertical="center"/>
    </xf>
    <xf numFmtId="3" fontId="108" fillId="28" borderId="4" xfId="1" applyNumberFormat="1" applyFont="1" applyFill="1" applyBorder="1" applyAlignment="1">
      <alignment horizontal="center" vertical="center"/>
    </xf>
    <xf numFmtId="3" fontId="114" fillId="28" borderId="4" xfId="1" applyNumberFormat="1" applyFont="1" applyFill="1" applyBorder="1" applyAlignment="1">
      <alignment horizontal="center" vertical="center"/>
    </xf>
    <xf numFmtId="3" fontId="114" fillId="28" borderId="202" xfId="1" applyNumberFormat="1" applyFont="1" applyFill="1" applyBorder="1" applyAlignment="1">
      <alignment horizontal="center" vertical="center"/>
    </xf>
    <xf numFmtId="3" fontId="108" fillId="28" borderId="360" xfId="1" applyNumberFormat="1" applyFont="1" applyFill="1" applyBorder="1" applyAlignment="1">
      <alignment horizontal="center" vertical="center"/>
    </xf>
    <xf numFmtId="3" fontId="108" fillId="30" borderId="4" xfId="1" applyNumberFormat="1" applyFont="1" applyFill="1" applyBorder="1" applyAlignment="1">
      <alignment horizontal="center" vertical="center"/>
    </xf>
    <xf numFmtId="3" fontId="108" fillId="31" borderId="348" xfId="1" applyNumberFormat="1" applyFont="1" applyFill="1" applyBorder="1" applyAlignment="1">
      <alignment horizontal="center" vertical="center"/>
    </xf>
    <xf numFmtId="166" fontId="43" fillId="0" borderId="135" xfId="1" applyNumberFormat="1" applyFont="1" applyFill="1" applyBorder="1" applyAlignment="1">
      <alignment horizontal="center" vertical="center"/>
    </xf>
    <xf numFmtId="166" fontId="105" fillId="28" borderId="351" xfId="1" applyNumberFormat="1" applyFont="1" applyFill="1" applyBorder="1" applyAlignment="1">
      <alignment horizontal="center" vertical="center"/>
    </xf>
    <xf numFmtId="166" fontId="113" fillId="29" borderId="135" xfId="1" applyNumberFormat="1" applyFont="1" applyFill="1" applyBorder="1" applyAlignment="1">
      <alignment horizontal="center" vertical="center"/>
    </xf>
    <xf numFmtId="166" fontId="105" fillId="28" borderId="135" xfId="1" applyNumberFormat="1" applyFont="1" applyFill="1" applyBorder="1" applyAlignment="1">
      <alignment horizontal="center" vertical="center"/>
    </xf>
    <xf numFmtId="166" fontId="113" fillId="29" borderId="358" xfId="1" applyNumberFormat="1" applyFont="1" applyFill="1" applyBorder="1" applyAlignment="1">
      <alignment horizontal="center" vertical="center"/>
    </xf>
    <xf numFmtId="166" fontId="113" fillId="29" borderId="351" xfId="1" applyNumberFormat="1" applyFont="1" applyFill="1" applyBorder="1" applyAlignment="1">
      <alignment horizontal="center" vertical="center"/>
    </xf>
    <xf numFmtId="166" fontId="108" fillId="28" borderId="135" xfId="1" applyNumberFormat="1" applyFont="1" applyFill="1" applyBorder="1" applyAlignment="1">
      <alignment horizontal="center" vertical="center"/>
    </xf>
    <xf numFmtId="166" fontId="108" fillId="28" borderId="358" xfId="1" applyNumberFormat="1" applyFont="1" applyFill="1" applyBorder="1" applyAlignment="1">
      <alignment horizontal="center" vertical="center"/>
    </xf>
    <xf numFmtId="166" fontId="113" fillId="28" borderId="351" xfId="1" applyNumberFormat="1" applyFont="1" applyFill="1" applyBorder="1" applyAlignment="1">
      <alignment horizontal="center" vertical="center"/>
    </xf>
    <xf numFmtId="166" fontId="113" fillId="28" borderId="135" xfId="1" applyNumberFormat="1" applyFont="1" applyFill="1" applyBorder="1" applyAlignment="1">
      <alignment horizontal="center" vertical="center"/>
    </xf>
    <xf numFmtId="166" fontId="111" fillId="28" borderId="351" xfId="1" applyNumberFormat="1" applyFont="1" applyFill="1" applyBorder="1" applyAlignment="1">
      <alignment horizontal="center" vertical="center"/>
    </xf>
    <xf numFmtId="166" fontId="105" fillId="28" borderId="358" xfId="1" applyNumberFormat="1" applyFont="1" applyFill="1" applyBorder="1" applyAlignment="1">
      <alignment horizontal="center" vertical="center"/>
    </xf>
    <xf numFmtId="166" fontId="108" fillId="28" borderId="351" xfId="1" applyNumberFormat="1" applyFont="1" applyFill="1" applyBorder="1" applyAlignment="1">
      <alignment horizontal="center" vertical="center"/>
    </xf>
    <xf numFmtId="166" fontId="108" fillId="29" borderId="135" xfId="1" applyNumberFormat="1" applyFont="1" applyFill="1" applyBorder="1" applyAlignment="1">
      <alignment horizontal="center" vertical="center"/>
    </xf>
    <xf numFmtId="166" fontId="53" fillId="28" borderId="351" xfId="1" applyNumberFormat="1" applyFont="1" applyFill="1" applyBorder="1" applyAlignment="1">
      <alignment horizontal="center" vertical="center"/>
    </xf>
    <xf numFmtId="166" fontId="113" fillId="29" borderId="366" xfId="1" applyNumberFormat="1" applyFont="1" applyFill="1" applyBorder="1" applyAlignment="1">
      <alignment horizontal="center" vertical="center"/>
    </xf>
    <xf numFmtId="3" fontId="50" fillId="0" borderId="364" xfId="1" applyNumberFormat="1" applyFont="1" applyFill="1" applyBorder="1" applyAlignment="1">
      <alignment horizontal="center" vertical="center"/>
    </xf>
    <xf numFmtId="169" fontId="169" fillId="0" borderId="302" xfId="1" applyNumberFormat="1" applyFont="1" applyFill="1" applyBorder="1" applyAlignment="1">
      <alignment horizontal="center" vertical="center"/>
    </xf>
    <xf numFmtId="0" fontId="23" fillId="0" borderId="15" xfId="15" applyBorder="1" applyAlignment="1">
      <alignment horizontal="center"/>
    </xf>
    <xf numFmtId="167" fontId="48" fillId="0" borderId="302" xfId="1" applyNumberFormat="1" applyFont="1" applyFill="1" applyBorder="1" applyAlignment="1">
      <alignment horizontal="center" vertical="center"/>
    </xf>
    <xf numFmtId="168" fontId="48" fillId="0" borderId="302" xfId="1" applyNumberFormat="1" applyFont="1" applyFill="1" applyBorder="1" applyAlignment="1">
      <alignment horizontal="center" vertical="center"/>
    </xf>
    <xf numFmtId="3" fontId="48" fillId="0" borderId="302" xfId="1" applyNumberFormat="1" applyFont="1" applyFill="1" applyBorder="1" applyAlignment="1">
      <alignment horizontal="center" vertical="center"/>
    </xf>
    <xf numFmtId="166" fontId="43" fillId="0" borderId="364" xfId="1" applyNumberFormat="1" applyFont="1" applyFill="1" applyBorder="1" applyAlignment="1">
      <alignment horizontal="center" vertical="center"/>
    </xf>
    <xf numFmtId="3" fontId="43" fillId="0" borderId="364" xfId="1" applyNumberFormat="1" applyFont="1" applyFill="1" applyBorder="1" applyAlignment="1">
      <alignment horizontal="center" vertical="center"/>
    </xf>
    <xf numFmtId="3" fontId="171" fillId="0" borderId="364" xfId="1" applyNumberFormat="1" applyFont="1" applyFill="1" applyBorder="1" applyAlignment="1">
      <alignment horizontal="center" vertical="center"/>
    </xf>
    <xf numFmtId="0" fontId="46" fillId="0" borderId="331" xfId="1" applyFont="1" applyFill="1" applyBorder="1" applyAlignment="1">
      <alignment horizontal="center" vertical="center"/>
    </xf>
    <xf numFmtId="0" fontId="43" fillId="0" borderId="4" xfId="1" applyFont="1" applyFill="1" applyBorder="1" applyAlignment="1">
      <alignment horizontal="center" vertical="center"/>
    </xf>
    <xf numFmtId="0" fontId="46" fillId="0" borderId="19" xfId="1" applyFont="1" applyFill="1" applyBorder="1" applyAlignment="1">
      <alignment horizontal="center" vertical="center"/>
    </xf>
    <xf numFmtId="0" fontId="162" fillId="4" borderId="17" xfId="1" applyFont="1" applyFill="1" applyBorder="1" applyAlignment="1">
      <alignment horizontal="center" vertical="center"/>
    </xf>
    <xf numFmtId="0" fontId="2" fillId="0" borderId="27" xfId="1" applyFill="1" applyBorder="1"/>
    <xf numFmtId="3" fontId="16" fillId="0" borderId="0" xfId="1" applyNumberFormat="1" applyFont="1" applyFill="1" applyBorder="1" applyAlignment="1">
      <alignment horizontal="center"/>
    </xf>
    <xf numFmtId="3" fontId="50" fillId="0" borderId="0" xfId="1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166" fontId="46" fillId="0" borderId="16" xfId="1" applyNumberFormat="1" applyFont="1" applyFill="1" applyBorder="1" applyAlignment="1">
      <alignment horizontal="center" vertical="center" wrapText="1"/>
    </xf>
    <xf numFmtId="0" fontId="141" fillId="0" borderId="112" xfId="0" applyFont="1" applyBorder="1" applyAlignment="1">
      <alignment horizontal="center" vertical="center" wrapText="1"/>
    </xf>
    <xf numFmtId="0" fontId="141" fillId="0" borderId="21" xfId="0" applyFont="1" applyBorder="1" applyAlignment="1">
      <alignment horizontal="center" vertical="center" wrapText="1"/>
    </xf>
    <xf numFmtId="166" fontId="46" fillId="0" borderId="15" xfId="1" applyNumberFormat="1" applyFont="1" applyFill="1" applyBorder="1" applyAlignment="1">
      <alignment horizontal="center" vertical="center" wrapText="1"/>
    </xf>
    <xf numFmtId="0" fontId="50" fillId="0" borderId="73" xfId="1" applyFont="1" applyBorder="1" applyAlignment="1">
      <alignment horizontal="center" vertical="center" wrapText="1"/>
    </xf>
    <xf numFmtId="0" fontId="50" fillId="0" borderId="61" xfId="1" applyFont="1" applyBorder="1" applyAlignment="1">
      <alignment horizontal="center" vertical="center" wrapText="1"/>
    </xf>
    <xf numFmtId="166" fontId="43" fillId="0" borderId="15" xfId="1" applyNumberFormat="1" applyFont="1" applyFill="1" applyBorder="1" applyAlignment="1">
      <alignment horizontal="center" vertical="center" wrapText="1"/>
    </xf>
    <xf numFmtId="0" fontId="50" fillId="0" borderId="72" xfId="1" applyFont="1" applyBorder="1" applyAlignment="1">
      <alignment horizontal="center" vertical="center" wrapText="1"/>
    </xf>
    <xf numFmtId="0" fontId="33" fillId="0" borderId="0" xfId="1" applyFont="1" applyFill="1" applyBorder="1" applyAlignment="1">
      <alignment horizontal="center" vertical="center" shrinkToFit="1"/>
    </xf>
    <xf numFmtId="0" fontId="89" fillId="0" borderId="0" xfId="1" applyFont="1" applyFill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46" fillId="0" borderId="15" xfId="1" applyFont="1" applyFill="1" applyBorder="1" applyAlignment="1">
      <alignment horizontal="center" vertical="center" wrapText="1"/>
    </xf>
    <xf numFmtId="0" fontId="46" fillId="0" borderId="302" xfId="1" applyFont="1" applyFill="1" applyBorder="1" applyAlignment="1">
      <alignment horizontal="center" vertical="center" wrapText="1"/>
    </xf>
    <xf numFmtId="0" fontId="46" fillId="0" borderId="364" xfId="1" applyFont="1" applyFill="1" applyBorder="1" applyAlignment="1">
      <alignment horizontal="center" vertical="center" wrapText="1"/>
    </xf>
    <xf numFmtId="0" fontId="93" fillId="0" borderId="15" xfId="1" applyFont="1" applyFill="1" applyBorder="1" applyAlignment="1">
      <alignment horizontal="center" vertical="center" wrapText="1"/>
    </xf>
    <xf numFmtId="0" fontId="46" fillId="0" borderId="14" xfId="1" applyFont="1" applyFill="1" applyBorder="1" applyAlignment="1">
      <alignment horizontal="center" vertical="center"/>
    </xf>
    <xf numFmtId="0" fontId="46" fillId="0" borderId="13" xfId="1" applyFont="1" applyFill="1" applyBorder="1" applyAlignment="1">
      <alignment horizontal="center" vertical="center"/>
    </xf>
    <xf numFmtId="0" fontId="138" fillId="0" borderId="75" xfId="1" applyFont="1" applyFill="1" applyBorder="1" applyAlignment="1">
      <alignment horizontal="left" vertical="center"/>
    </xf>
    <xf numFmtId="0" fontId="139" fillId="0" borderId="75" xfId="0" applyFont="1" applyBorder="1" applyAlignment="1">
      <alignment horizontal="left" vertical="center"/>
    </xf>
    <xf numFmtId="3" fontId="16" fillId="0" borderId="0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4" xfId="0" applyBorder="1" applyAlignment="1">
      <alignment horizontal="left" vertical="center"/>
    </xf>
    <xf numFmtId="3" fontId="3" fillId="0" borderId="50" xfId="1" applyNumberFormat="1" applyFont="1" applyFill="1" applyBorder="1" applyAlignment="1">
      <alignment horizontal="left" vertical="center"/>
    </xf>
    <xf numFmtId="0" fontId="54" fillId="0" borderId="51" xfId="1" applyFont="1" applyBorder="1" applyAlignment="1">
      <alignment vertical="center"/>
    </xf>
    <xf numFmtId="0" fontId="54" fillId="0" borderId="49" xfId="1" applyFont="1" applyBorder="1" applyAlignment="1">
      <alignment vertical="center"/>
    </xf>
    <xf numFmtId="3" fontId="3" fillId="0" borderId="0" xfId="1" applyNumberFormat="1" applyFont="1" applyFill="1" applyBorder="1" applyAlignment="1">
      <alignment horizontal="left" vertical="center"/>
    </xf>
    <xf numFmtId="0" fontId="54" fillId="0" borderId="0" xfId="1" applyFont="1" applyFill="1" applyBorder="1" applyAlignment="1">
      <alignment vertical="center"/>
    </xf>
    <xf numFmtId="0" fontId="3" fillId="0" borderId="45" xfId="1" applyFont="1" applyFill="1" applyBorder="1" applyAlignment="1">
      <alignment horizontal="center" vertical="center"/>
    </xf>
    <xf numFmtId="0" fontId="3" fillId="0" borderId="49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3" fontId="3" fillId="0" borderId="156" xfId="1" applyNumberFormat="1" applyFont="1" applyFill="1" applyBorder="1" applyAlignment="1">
      <alignment horizontal="left" vertical="center"/>
    </xf>
    <xf numFmtId="0" fontId="3" fillId="0" borderId="6" xfId="1" applyFont="1" applyFill="1" applyBorder="1" applyAlignment="1">
      <alignment horizontal="center" vertical="center"/>
    </xf>
    <xf numFmtId="167" fontId="3" fillId="0" borderId="96" xfId="1" applyNumberFormat="1" applyFont="1" applyFill="1" applyBorder="1" applyAlignment="1">
      <alignment horizontal="center" vertical="center"/>
    </xf>
    <xf numFmtId="0" fontId="152" fillId="0" borderId="94" xfId="0" applyFont="1" applyBorder="1" applyAlignment="1">
      <alignment horizontal="center" vertical="center"/>
    </xf>
    <xf numFmtId="3" fontId="55" fillId="0" borderId="94" xfId="1" applyNumberFormat="1" applyFont="1" applyFill="1" applyBorder="1" applyAlignment="1">
      <alignment horizontal="center" vertical="center"/>
    </xf>
    <xf numFmtId="3" fontId="55" fillId="0" borderId="95" xfId="1" applyNumberFormat="1" applyFont="1" applyFill="1" applyBorder="1" applyAlignment="1">
      <alignment horizontal="center" vertical="center"/>
    </xf>
    <xf numFmtId="0" fontId="3" fillId="0" borderId="181" xfId="1" applyFont="1" applyFill="1" applyBorder="1" applyAlignment="1">
      <alignment horizontal="center" vertical="center"/>
    </xf>
    <xf numFmtId="3" fontId="55" fillId="0" borderId="0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3" fontId="55" fillId="0" borderId="1" xfId="1" applyNumberFormat="1" applyFont="1" applyFill="1" applyBorder="1" applyAlignment="1">
      <alignment horizontal="center" vertical="center"/>
    </xf>
    <xf numFmtId="0" fontId="45" fillId="0" borderId="56" xfId="4" applyFont="1" applyFill="1" applyBorder="1" applyAlignment="1">
      <alignment horizontal="center" vertical="center"/>
    </xf>
    <xf numFmtId="0" fontId="45" fillId="0" borderId="56" xfId="4" applyNumberFormat="1" applyFont="1" applyFill="1" applyBorder="1" applyAlignment="1" applyProtection="1">
      <alignment horizontal="center" vertical="center"/>
    </xf>
    <xf numFmtId="3" fontId="45" fillId="0" borderId="56" xfId="4" applyNumberFormat="1" applyFont="1" applyFill="1" applyBorder="1" applyAlignment="1">
      <alignment horizontal="center" vertical="center"/>
    </xf>
    <xf numFmtId="3" fontId="17" fillId="0" borderId="56" xfId="4" applyNumberFormat="1" applyFont="1" applyFill="1" applyBorder="1" applyAlignment="1">
      <alignment horizontal="center" vertical="center"/>
    </xf>
    <xf numFmtId="165" fontId="6" fillId="0" borderId="0" xfId="1" applyNumberFormat="1" applyFont="1" applyFill="1" applyAlignment="1">
      <alignment horizontal="left"/>
    </xf>
    <xf numFmtId="0" fontId="2" fillId="0" borderId="0" xfId="1" applyAlignment="1"/>
    <xf numFmtId="0" fontId="45" fillId="0" borderId="57" xfId="4" applyFont="1" applyFill="1" applyBorder="1" applyAlignment="1">
      <alignment horizontal="center" vertical="center"/>
    </xf>
    <xf numFmtId="0" fontId="102" fillId="0" borderId="75" xfId="1" applyFont="1" applyFill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103" fillId="0" borderId="75" xfId="15" applyFont="1" applyFill="1" applyBorder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50" fillId="45" borderId="41" xfId="1" applyFont="1" applyFill="1" applyBorder="1" applyAlignment="1">
      <alignment horizontal="center" vertical="center"/>
    </xf>
    <xf numFmtId="0" fontId="2" fillId="0" borderId="134" xfId="1" applyBorder="1" applyAlignment="1">
      <alignment horizontal="center" vertical="center"/>
    </xf>
    <xf numFmtId="0" fontId="50" fillId="0" borderId="41" xfId="1" applyFont="1" applyFill="1" applyBorder="1" applyAlignment="1">
      <alignment horizontal="center" vertical="center"/>
    </xf>
    <xf numFmtId="0" fontId="2" fillId="0" borderId="53" xfId="1" applyBorder="1" applyAlignment="1">
      <alignment horizontal="center" vertical="center"/>
    </xf>
    <xf numFmtId="0" fontId="98" fillId="0" borderId="75" xfId="1" applyFont="1" applyFill="1" applyBorder="1" applyAlignment="1">
      <alignment horizontal="center" vertical="center" wrapText="1"/>
    </xf>
    <xf numFmtId="0" fontId="99" fillId="0" borderId="0" xfId="1" applyFont="1" applyAlignment="1">
      <alignment horizontal="center" vertical="center" wrapText="1"/>
    </xf>
    <xf numFmtId="0" fontId="99" fillId="0" borderId="75" xfId="1" applyFont="1" applyBorder="1" applyAlignment="1">
      <alignment horizontal="center" vertical="center" wrapText="1"/>
    </xf>
    <xf numFmtId="0" fontId="2" fillId="0" borderId="104" xfId="1" applyBorder="1" applyAlignment="1">
      <alignment horizontal="center" vertical="center"/>
    </xf>
    <xf numFmtId="0" fontId="96" fillId="0" borderId="0" xfId="1" applyFont="1" applyFill="1" applyBorder="1" applyAlignment="1">
      <alignment horizontal="center" vertical="center"/>
    </xf>
    <xf numFmtId="0" fontId="50" fillId="45" borderId="132" xfId="1" applyFont="1" applyFill="1" applyBorder="1" applyAlignment="1">
      <alignment horizontal="center" vertical="center"/>
    </xf>
    <xf numFmtId="0" fontId="2" fillId="0" borderId="80" xfId="1" applyBorder="1" applyAlignment="1">
      <alignment horizontal="center" vertical="center"/>
    </xf>
    <xf numFmtId="0" fontId="50" fillId="0" borderId="132" xfId="1" applyFont="1" applyFill="1" applyBorder="1" applyAlignment="1">
      <alignment horizontal="center" vertical="center"/>
    </xf>
    <xf numFmtId="0" fontId="2" fillId="0" borderId="87" xfId="1" applyBorder="1" applyAlignment="1">
      <alignment horizontal="center" vertical="center"/>
    </xf>
    <xf numFmtId="0" fontId="2" fillId="0" borderId="129" xfId="1" applyBorder="1" applyAlignment="1">
      <alignment horizontal="center" vertical="center"/>
    </xf>
  </cellXfs>
  <cellStyles count="18">
    <cellStyle name="Euro" xfId="2"/>
    <cellStyle name="Hyperlink 2" xfId="16"/>
    <cellStyle name="Hyperlink 4" xfId="17"/>
    <cellStyle name="Link" xfId="15" builtinId="8"/>
    <cellStyle name="Normal 2" xfId="3"/>
    <cellStyle name="Normal 2 2" xfId="4"/>
    <cellStyle name="Normal 3" xfId="5"/>
    <cellStyle name="Normal 3 2" xfId="6"/>
    <cellStyle name="Normal 3 2 2" xfId="7"/>
    <cellStyle name="Normal 4" xfId="8"/>
    <cellStyle name="Normal 5" xfId="9"/>
    <cellStyle name="Normal 6" xfId="10"/>
    <cellStyle name="Normal 7" xfId="11"/>
    <cellStyle name="Prozent 2" xfId="12"/>
    <cellStyle name="Standard" xfId="0" builtinId="0"/>
    <cellStyle name="Standard 2" xfId="1"/>
    <cellStyle name="Standard 3" xfId="13"/>
    <cellStyle name="Standard 4" xfId="14"/>
  </cellStyles>
  <dxfs count="181"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99CCFF"/>
      <color rgb="FFCCFFCC"/>
      <color rgb="FFFFCC00"/>
      <color rgb="FFFFCC99"/>
      <color rgb="FFFFFF99"/>
      <color rgb="FF0000FF"/>
      <color rgb="FFC4EEC5"/>
      <color rgb="FF00FF00"/>
      <color rgb="FF66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0</xdr:row>
      <xdr:rowOff>48973</xdr:rowOff>
    </xdr:from>
    <xdr:to>
      <xdr:col>12</xdr:col>
      <xdr:colOff>695325</xdr:colOff>
      <xdr:row>6</xdr:row>
      <xdr:rowOff>36751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48973"/>
          <a:ext cx="6172200" cy="873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2313979</xdr:colOff>
      <xdr:row>2</xdr:row>
      <xdr:rowOff>104774</xdr:rowOff>
    </xdr:from>
    <xdr:to>
      <xdr:col>2</xdr:col>
      <xdr:colOff>142875</xdr:colOff>
      <xdr:row>3</xdr:row>
      <xdr:rowOff>80239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54" y="1057274"/>
          <a:ext cx="1676996" cy="432665"/>
        </a:xfrm>
        <a:prstGeom prst="rect">
          <a:avLst/>
        </a:prstGeom>
      </xdr:spPr>
    </xdr:pic>
    <xdr:clientData/>
  </xdr:twoCellAnchor>
  <xdr:oneCellAnchor>
    <xdr:from>
      <xdr:col>1</xdr:col>
      <xdr:colOff>2313979</xdr:colOff>
      <xdr:row>82</xdr:row>
      <xdr:rowOff>104774</xdr:rowOff>
    </xdr:from>
    <xdr:ext cx="1676996" cy="43266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54" y="1047749"/>
          <a:ext cx="1676996" cy="43266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2</xdr:col>
      <xdr:colOff>4233</xdr:colOff>
      <xdr:row>10</xdr:row>
      <xdr:rowOff>38100</xdr:rowOff>
    </xdr:to>
    <xdr:pic>
      <xdr:nvPicPr>
        <xdr:cNvPr id="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76550"/>
          <a:ext cx="2709333" cy="38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%201989%20-%202012/Files%202012%20(01103%20files)/TESTSETS/x/Abzahlung%20A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ephan\AppData\Roaming\Microsoft\Excel\Comput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ephan/AppData/Roaming/Microsoft/Excel/Comput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YDeN\AppData\Roaming\Microsoft\Excel\Comput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DeN/AppData/Roaming/Microsoft/Excel/Compu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passen der Annuität"/>
      <sheetName val="Kreditdaten"/>
      <sheetName val="Tilgungsplan"/>
      <sheetName val="Übersichtsdiagramm"/>
      <sheetName val="Macros"/>
      <sheetName val="Sperren"/>
      <sheetName val="ChgLoan"/>
      <sheetName val="Int. Data Table"/>
      <sheetName val="Abzahlung A6"/>
      <sheetName val="Anpassen_der_Annuität"/>
      <sheetName val="Int__Data_Table"/>
      <sheetName val="Abzahlung_A6"/>
    </sheetNames>
    <sheetDataSet>
      <sheetData sheetId="0"/>
      <sheetData sheetId="1">
        <row r="13">
          <cell r="F13" t="str">
            <v>Audi Bank AG</v>
          </cell>
        </row>
        <row r="16">
          <cell r="F16">
            <v>25628.400000000001</v>
          </cell>
          <cell r="I16">
            <v>8.2299999999999998E-2</v>
          </cell>
        </row>
        <row r="17">
          <cell r="F17">
            <v>36234</v>
          </cell>
        </row>
        <row r="18">
          <cell r="I18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History 16 _ 32"/>
      <sheetName val="Attacks"/>
      <sheetName val="Bills"/>
      <sheetName val="CopyProt"/>
      <sheetName val="Knowledge"/>
      <sheetName val="FAQs"/>
      <sheetName val="MEDIA !"/>
      <sheetName val="PC History 16 &amp; 32"/>
      <sheetName val="PC History 64"/>
      <sheetName val="Soft World"/>
      <sheetName val="SqueezeChart2005"/>
      <sheetName val="Audio"/>
      <sheetName val="Exe"/>
      <sheetName val="Image"/>
      <sheetName val="JPG, MPEG, MP3, PDF, CHM, PNG.."/>
      <sheetName val="Results"/>
      <sheetName val="People"/>
      <sheetName val="Texts"/>
      <sheetName val="F.A.Q."/>
      <sheetName val="PDF Compact"/>
      <sheetName val="Gutenberg"/>
      <sheetName val="SiTX JPEG"/>
      <sheetName val="RK FMT"/>
      <sheetName val="Archiver features"/>
      <sheetName val="TestSheet"/>
      <sheetName val="PC_History_16___32"/>
      <sheetName val="MEDIA_!"/>
      <sheetName val="PC_History_16_&amp;_32"/>
      <sheetName val="PC_History_64"/>
      <sheetName val="Soft_World"/>
      <sheetName val="JPG,_MPEG,_MP3,_PDF,_CHM,_PNG__"/>
      <sheetName val="F_A_Q_"/>
      <sheetName val="PDF_Compact"/>
      <sheetName val="SiTX_JPEG"/>
      <sheetName val="RK_FMT"/>
      <sheetName val="Archiver_fea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History 16 _ 32"/>
      <sheetName val="Attacks"/>
      <sheetName val="Bills"/>
      <sheetName val="CopyProt"/>
      <sheetName val="Knowledge"/>
      <sheetName val="FAQs"/>
      <sheetName val="MEDIA !"/>
      <sheetName val="PC History 16 &amp; 32"/>
      <sheetName val="PC History 64"/>
      <sheetName val="Soft World"/>
      <sheetName val="SqueezeChart2005"/>
      <sheetName val="Audio"/>
      <sheetName val="Exe"/>
      <sheetName val="Image"/>
      <sheetName val="JPG, MPEG, MP3, PDF, CHM, PNG.."/>
      <sheetName val="Results"/>
      <sheetName val="People"/>
      <sheetName val="Texts"/>
      <sheetName val="F.A.Q."/>
      <sheetName val="PDF Compact"/>
      <sheetName val="Gutenberg"/>
      <sheetName val="SiTX JPEG"/>
      <sheetName val="RK FMT"/>
      <sheetName val="Archiver features"/>
      <sheetName val="TestSheet"/>
      <sheetName val="PC_History_16___32"/>
      <sheetName val="MEDIA_!"/>
      <sheetName val="PC_History_16_&amp;_32"/>
      <sheetName val="PC_History_64"/>
      <sheetName val="Soft_World"/>
      <sheetName val="JPG,_MPEG,_MP3,_PDF,_CHM,_PNG__"/>
      <sheetName val="F_A_Q_"/>
      <sheetName val="PDF_Compact"/>
      <sheetName val="SiTX_JPEG"/>
      <sheetName val="RK_FMT"/>
      <sheetName val="Archiver_fea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History 16 _ 32"/>
      <sheetName val="Attacks"/>
      <sheetName val="Bills"/>
      <sheetName val="CopyProt"/>
      <sheetName val="Knowledge"/>
      <sheetName val="FAQs"/>
      <sheetName val="MEDIA !"/>
      <sheetName val="PC History 16 &amp; 32"/>
      <sheetName val="PC History 64"/>
      <sheetName val="Soft World"/>
      <sheetName val="SqueezeChart2005"/>
      <sheetName val="Audio"/>
      <sheetName val="Exe"/>
      <sheetName val="Image"/>
      <sheetName val="JPG, MPEG, MP3, PDF, CHM, PNG.."/>
      <sheetName val="Results"/>
      <sheetName val="People"/>
      <sheetName val="Texts"/>
      <sheetName val="F.A.Q."/>
      <sheetName val="PDF Compact"/>
      <sheetName val="Gutenberg"/>
      <sheetName val="SiTX JPEG"/>
      <sheetName val="RK FMT"/>
      <sheetName val="Archiver features"/>
      <sheetName val="TestSheet"/>
      <sheetName val="PC_History_16___32"/>
      <sheetName val="MEDIA_!"/>
      <sheetName val="PC_History_16_&amp;_32"/>
      <sheetName val="PC_History_64"/>
      <sheetName val="Soft_World"/>
      <sheetName val="JPG,_MPEG,_MP3,_PDF,_CHM,_PNG__"/>
      <sheetName val="F_A_Q_"/>
      <sheetName val="PDF_Compact"/>
      <sheetName val="SiTX_JPEG"/>
      <sheetName val="RK_FMT"/>
      <sheetName val="Archiver_fea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History 16 _ 32"/>
      <sheetName val="Attacks"/>
      <sheetName val="Bills"/>
      <sheetName val="CopyProt"/>
      <sheetName val="Knowledge"/>
      <sheetName val="FAQs"/>
      <sheetName val="MEDIA !"/>
      <sheetName val="PC History 16 &amp; 32"/>
      <sheetName val="PC History 64"/>
      <sheetName val="Soft World"/>
      <sheetName val="SqueezeChart2005"/>
      <sheetName val="Audio"/>
      <sheetName val="Exe"/>
      <sheetName val="Image"/>
      <sheetName val="JPG, MPEG, MP3, PDF, CHM, PNG.."/>
      <sheetName val="Results"/>
      <sheetName val="People"/>
      <sheetName val="Texts"/>
      <sheetName val="F.A.Q."/>
      <sheetName val="PDF Compact"/>
      <sheetName val="Gutenberg"/>
      <sheetName val="SiTX JPEG"/>
      <sheetName val="RK FMT"/>
      <sheetName val="Archiver features"/>
      <sheetName val="TestSheet"/>
      <sheetName val="PC_History_16___32"/>
      <sheetName val="MEDIA_!"/>
      <sheetName val="PC_History_16_&amp;_32"/>
      <sheetName val="PC_History_64"/>
      <sheetName val="Soft_World"/>
      <sheetName val="JPG,_MPEG,_MP3,_PDF,_CHM,_PNG__"/>
      <sheetName val="F_A_Q_"/>
      <sheetName val="PDF_Compact"/>
      <sheetName val="SiTX_JPEG"/>
      <sheetName val="RK_FMT"/>
      <sheetName val="Archiver_fea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rapidshare.com/files/4153990117/installer.7z" TargetMode="External"/><Relationship Id="rId13" Type="http://schemas.openxmlformats.org/officeDocument/2006/relationships/image" Target="../media/image2.png"/><Relationship Id="rId3" Type="http://schemas.openxmlformats.org/officeDocument/2006/relationships/hyperlink" Target="ftp://ftp.ibiblio.org/pub/docs/books/gutenberg/1/1/2/2/11220/PG2003-08.ISO" TargetMode="External"/><Relationship Id="rId7" Type="http://schemas.openxmlformats.org/officeDocument/2006/relationships/hyperlink" Target="https://rapidshare.com/files/3006474738/mobile.7z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portableapps.com/apps/office/libreoffice_portable/" TargetMode="External"/><Relationship Id="rId1" Type="http://schemas.openxmlformats.org/officeDocument/2006/relationships/hyperlink" Target="http://sourceforge.net/projects/torcs/files/torcs-win32-bin/1.3.0/" TargetMode="External"/><Relationship Id="rId6" Type="http://schemas.openxmlformats.org/officeDocument/2006/relationships/hyperlink" Target="https://rapidshare.com/files/1152584718/dna.7z" TargetMode="External"/><Relationship Id="rId11" Type="http://schemas.openxmlformats.org/officeDocument/2006/relationships/hyperlink" Target="https://rapidshare.com/files/990362294/xml.7z" TargetMode="External"/><Relationship Id="rId5" Type="http://schemas.openxmlformats.org/officeDocument/2006/relationships/hyperlink" Target="http://dumps.wikimedia.org/backup-index.html" TargetMode="External"/><Relationship Id="rId10" Type="http://schemas.openxmlformats.org/officeDocument/2006/relationships/hyperlink" Target="https://rapidshare.com/files/2711329401/sources.7z" TargetMode="External"/><Relationship Id="rId4" Type="http://schemas.openxmlformats.org/officeDocument/2006/relationships/hyperlink" Target="http://www.imagecompression.info/test_images/" TargetMode="External"/><Relationship Id="rId9" Type="http://schemas.openxmlformats.org/officeDocument/2006/relationships/hyperlink" Target="https://rapidshare.com/files/3034997851/sav.7z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ftp://ftp.sac.sk/pub/sac/pack/ttcomp.zip" TargetMode="External"/><Relationship Id="rId299" Type="http://schemas.openxmlformats.org/officeDocument/2006/relationships/hyperlink" Target="http://encode.narod.ru/ppmx008.zip" TargetMode="External"/><Relationship Id="rId21" Type="http://schemas.openxmlformats.org/officeDocument/2006/relationships/hyperlink" Target="http://www.winzip.com/" TargetMode="External"/><Relationship Id="rId63" Type="http://schemas.openxmlformats.org/officeDocument/2006/relationships/hyperlink" Target="http://cbloom.com/" TargetMode="External"/><Relationship Id="rId159" Type="http://schemas.openxmlformats.org/officeDocument/2006/relationships/hyperlink" Target="ftp://ftp.sac.sk/pub/sac/pack/rax_102.zip" TargetMode="External"/><Relationship Id="rId324" Type="http://schemas.openxmlformats.org/officeDocument/2006/relationships/hyperlink" Target="http://mattmahoney.net/dc/symbra02.zip" TargetMode="External"/><Relationship Id="rId170" Type="http://schemas.openxmlformats.org/officeDocument/2006/relationships/hyperlink" Target="http://zlib.net/pigz/" TargetMode="External"/><Relationship Id="rId226" Type="http://schemas.openxmlformats.org/officeDocument/2006/relationships/hyperlink" Target="http://nuwen.net/download/bwtzip.zip" TargetMode="External"/><Relationship Id="rId268" Type="http://schemas.openxmlformats.org/officeDocument/2006/relationships/hyperlink" Target="ftp://ftp.sac.sk/pub/sac/pack/winrk312.exe" TargetMode="External"/><Relationship Id="rId32" Type="http://schemas.openxmlformats.org/officeDocument/2006/relationships/hyperlink" Target="http://www.gzip.org/" TargetMode="External"/><Relationship Id="rId74" Type="http://schemas.openxmlformats.org/officeDocument/2006/relationships/hyperlink" Target="http://heartofcomp.altervista.org/zcm.zip" TargetMode="External"/><Relationship Id="rId128" Type="http://schemas.openxmlformats.org/officeDocument/2006/relationships/hyperlink" Target="ftp://ftp.sac.sk/pub/sac/pack/hyper26.zip" TargetMode="External"/><Relationship Id="rId335" Type="http://schemas.openxmlformats.org/officeDocument/2006/relationships/hyperlink" Target="mailto:info@squeezechart.com" TargetMode="External"/><Relationship Id="rId5" Type="http://schemas.openxmlformats.org/officeDocument/2006/relationships/hyperlink" Target="http://www.nanozip.net/" TargetMode="External"/><Relationship Id="rId181" Type="http://schemas.openxmlformats.org/officeDocument/2006/relationships/hyperlink" Target="http://ftp.sk.debian.org/pc/pack/bar112.exe" TargetMode="External"/><Relationship Id="rId237" Type="http://schemas.openxmlformats.org/officeDocument/2006/relationships/hyperlink" Target="ftp://ftp.sac.sk/pub/sac/pack/transfrm.zip" TargetMode="External"/><Relationship Id="rId279" Type="http://schemas.openxmlformats.org/officeDocument/2006/relationships/hyperlink" Target="http://www.7-zip.org/sdk.html" TargetMode="External"/><Relationship Id="rId43" Type="http://schemas.openxmlformats.org/officeDocument/2006/relationships/hyperlink" Target="http://www.altools.com/Downloads/ALZip.aspx" TargetMode="External"/><Relationship Id="rId139" Type="http://schemas.openxmlformats.org/officeDocument/2006/relationships/hyperlink" Target="http://www.matcode.com/lzmat.htm" TargetMode="External"/><Relationship Id="rId290" Type="http://schemas.openxmlformats.org/officeDocument/2006/relationships/hyperlink" Target="http://cs.fit.edu/~mmahoney/compression/bbb.exe" TargetMode="External"/><Relationship Id="rId304" Type="http://schemas.openxmlformats.org/officeDocument/2006/relationships/hyperlink" Target="http://schnaader.info/precomp.php" TargetMode="External"/><Relationship Id="rId85" Type="http://schemas.openxmlformats.org/officeDocument/2006/relationships/hyperlink" Target="ftp://ftp.sac.sk/pub/sac/pack/wbcomp.zip" TargetMode="External"/><Relationship Id="rId150" Type="http://schemas.openxmlformats.org/officeDocument/2006/relationships/hyperlink" Target="ftp://ftp.sac.sk/pub/sac/pack/ar002.zip" TargetMode="External"/><Relationship Id="rId192" Type="http://schemas.openxmlformats.org/officeDocument/2006/relationships/hyperlink" Target="http://freearc.org/download/research/tornado03.zip" TargetMode="External"/><Relationship Id="rId206" Type="http://schemas.openxmlformats.org/officeDocument/2006/relationships/hyperlink" Target="http://compressionratings.com/files/bred3.zip" TargetMode="External"/><Relationship Id="rId248" Type="http://schemas.openxmlformats.org/officeDocument/2006/relationships/hyperlink" Target="http://freearc.org/download/research/4x4ver01.zip" TargetMode="External"/><Relationship Id="rId12" Type="http://schemas.openxmlformats.org/officeDocument/2006/relationships/hyperlink" Target="http://freearc.org/" TargetMode="External"/><Relationship Id="rId108" Type="http://schemas.openxmlformats.org/officeDocument/2006/relationships/hyperlink" Target="http://bcrunch.online.fr/" TargetMode="External"/><Relationship Id="rId315" Type="http://schemas.openxmlformats.org/officeDocument/2006/relationships/hyperlink" Target="http://code.google.com/p/data-shrinker/" TargetMode="External"/><Relationship Id="rId54" Type="http://schemas.openxmlformats.org/officeDocument/2006/relationships/hyperlink" Target="http://sourceforge.net/projects/ciderpress/" TargetMode="External"/><Relationship Id="rId96" Type="http://schemas.openxmlformats.org/officeDocument/2006/relationships/hyperlink" Target="ftp://ftp.sac.sk/pub/sac/pack/pkze110s.exe" TargetMode="External"/><Relationship Id="rId161" Type="http://schemas.openxmlformats.org/officeDocument/2006/relationships/hyperlink" Target="ftp://ftp.sac.sk/pub/sac/pack/bsa.zip" TargetMode="External"/><Relationship Id="rId217" Type="http://schemas.openxmlformats.org/officeDocument/2006/relationships/hyperlink" Target="ftp://ftp.sac.sk/pub/sac/pack/arh140.zip" TargetMode="External"/><Relationship Id="rId259" Type="http://schemas.openxmlformats.org/officeDocument/2006/relationships/hyperlink" Target="http://rzip.samba.org/ftp/rzip/rzip-2.1.tar.gz" TargetMode="External"/><Relationship Id="rId23" Type="http://schemas.openxmlformats.org/officeDocument/2006/relationships/hyperlink" Target="http://code.google.com/p/lzham/" TargetMode="External"/><Relationship Id="rId119" Type="http://schemas.openxmlformats.org/officeDocument/2006/relationships/hyperlink" Target="ftp://ftp.sac.sk/pub/sac/pack/nsk50.zip" TargetMode="External"/><Relationship Id="rId270" Type="http://schemas.openxmlformats.org/officeDocument/2006/relationships/hyperlink" Target="ftp://ftp.sac.sk/pub/sac/pack/winrk312.exe" TargetMode="External"/><Relationship Id="rId326" Type="http://schemas.openxmlformats.org/officeDocument/2006/relationships/hyperlink" Target="http://mattmahoney.net/dc/lazy100.zip" TargetMode="External"/><Relationship Id="rId65" Type="http://schemas.openxmlformats.org/officeDocument/2006/relationships/hyperlink" Target="http://www.compressconsult.com/szip/" TargetMode="External"/><Relationship Id="rId130" Type="http://schemas.openxmlformats.org/officeDocument/2006/relationships/hyperlink" Target="http://www.softpedia.com/get/Compression-tools/aPackage.shtml" TargetMode="External"/><Relationship Id="rId172" Type="http://schemas.openxmlformats.org/officeDocument/2006/relationships/hyperlink" Target="ftp://ftp.sac.sk/pub/sac/pack/limit12.zip" TargetMode="External"/><Relationship Id="rId228" Type="http://schemas.openxmlformats.org/officeDocument/2006/relationships/hyperlink" Target="http://12g.com/ghosts.htm" TargetMode="External"/><Relationship Id="rId281" Type="http://schemas.openxmlformats.org/officeDocument/2006/relationships/hyperlink" Target="ftp://ftp.sac.sk/pub/sac/pack/qlfc6_6w.rar" TargetMode="External"/><Relationship Id="rId337" Type="http://schemas.openxmlformats.org/officeDocument/2006/relationships/drawing" Target="../drawings/drawing1.xml"/><Relationship Id="rId34" Type="http://schemas.openxmlformats.org/officeDocument/2006/relationships/hyperlink" Target="http://www.compressionratings.com/files/squeezechart_3dgame.7z" TargetMode="External"/><Relationship Id="rId76" Type="http://schemas.openxmlformats.org/officeDocument/2006/relationships/hyperlink" Target="http://software.schmorp.de/pkg/liblzf" TargetMode="External"/><Relationship Id="rId141" Type="http://schemas.openxmlformats.org/officeDocument/2006/relationships/hyperlink" Target="ftp://ftp.sac.sk/pub/sac/pack/abcmp206.zip" TargetMode="External"/><Relationship Id="rId7" Type="http://schemas.openxmlformats.org/officeDocument/2006/relationships/hyperlink" Target="http://www.nanozip.net/" TargetMode="External"/><Relationship Id="rId183" Type="http://schemas.openxmlformats.org/officeDocument/2006/relationships/hyperlink" Target="http://phantasie.tonempire.net/" TargetMode="External"/><Relationship Id="rId239" Type="http://schemas.openxmlformats.org/officeDocument/2006/relationships/hyperlink" Target="ftp://ftp.sac.sk/pub/sac/pack/ufa004b1.zip" TargetMode="External"/><Relationship Id="rId250" Type="http://schemas.openxmlformats.org/officeDocument/2006/relationships/hyperlink" Target="http://encode.narod.ru/pim290.zip" TargetMode="External"/><Relationship Id="rId292" Type="http://schemas.openxmlformats.org/officeDocument/2006/relationships/hyperlink" Target="ftp://ftp.sac.sk/pub/sac/pack/rk104a1w.exe" TargetMode="External"/><Relationship Id="rId306" Type="http://schemas.openxmlformats.org/officeDocument/2006/relationships/hyperlink" Target="http://code.google.com/p/comprox/" TargetMode="External"/><Relationship Id="rId45" Type="http://schemas.openxmlformats.org/officeDocument/2006/relationships/hyperlink" Target="http://www.compression.ru/ds/" TargetMode="External"/><Relationship Id="rId87" Type="http://schemas.openxmlformats.org/officeDocument/2006/relationships/hyperlink" Target="http://ssergeo.narod.ru/" TargetMode="External"/><Relationship Id="rId110" Type="http://schemas.openxmlformats.org/officeDocument/2006/relationships/hyperlink" Target="http://fastcompression.blogspot.de/p/lz4.html" TargetMode="External"/><Relationship Id="rId152" Type="http://schemas.openxmlformats.org/officeDocument/2006/relationships/hyperlink" Target="ftp://ftp.sac.sk/pub/sac/pack/sar1.zip" TargetMode="External"/><Relationship Id="rId173" Type="http://schemas.openxmlformats.org/officeDocument/2006/relationships/hyperlink" Target="ftp://ftp.sac.sk/pub/sac/pack/amgc22.zip" TargetMode="External"/><Relationship Id="rId194" Type="http://schemas.openxmlformats.org/officeDocument/2006/relationships/hyperlink" Target="http://heartofcomp.altervista.org/" TargetMode="External"/><Relationship Id="rId208" Type="http://schemas.openxmlformats.org/officeDocument/2006/relationships/hyperlink" Target="ftp://ftp.sac.sk/pub/sac/pack/semone06.zip" TargetMode="External"/><Relationship Id="rId229" Type="http://schemas.openxmlformats.org/officeDocument/2006/relationships/hyperlink" Target="ftp://ftp.sac.sk/pub/sac/pack/exp1.zip" TargetMode="External"/><Relationship Id="rId240" Type="http://schemas.openxmlformats.org/officeDocument/2006/relationships/hyperlink" Target="ftp://ftp.sac.sk/pub/sac/pack/ppmn_km.rar" TargetMode="External"/><Relationship Id="rId261" Type="http://schemas.openxmlformats.org/officeDocument/2006/relationships/hyperlink" Target="ftp://ftp.sac.sk/pub/sac/pack/acb_200c.zip" TargetMode="External"/><Relationship Id="rId14" Type="http://schemas.openxmlformats.org/officeDocument/2006/relationships/hyperlink" Target="http://www.winzip.com/" TargetMode="External"/><Relationship Id="rId35" Type="http://schemas.openxmlformats.org/officeDocument/2006/relationships/hyperlink" Target="http://www.compressionratings.com/files/squeezechart_pgm.7z" TargetMode="External"/><Relationship Id="rId56" Type="http://schemas.openxmlformats.org/officeDocument/2006/relationships/hyperlink" Target="http://ftp.sac.sk/sac/pack/" TargetMode="External"/><Relationship Id="rId77" Type="http://schemas.openxmlformats.org/officeDocument/2006/relationships/hyperlink" Target="http://www.rarlabs.com/" TargetMode="External"/><Relationship Id="rId100" Type="http://schemas.openxmlformats.org/officeDocument/2006/relationships/hyperlink" Target="ftp://ftp.sac.sk/pub/sac/pack/mscomp20.zip" TargetMode="External"/><Relationship Id="rId282" Type="http://schemas.openxmlformats.org/officeDocument/2006/relationships/hyperlink" Target="ftp://ftp.sac.sk/pub/sac/pack/ppmvc10.zip" TargetMode="External"/><Relationship Id="rId317" Type="http://schemas.openxmlformats.org/officeDocument/2006/relationships/hyperlink" Target="http://shelwien.googlepages.com/fpaq0pv4b.rar" TargetMode="External"/><Relationship Id="rId338" Type="http://schemas.openxmlformats.org/officeDocument/2006/relationships/vmlDrawing" Target="../drawings/vmlDrawing1.vml"/><Relationship Id="rId8" Type="http://schemas.openxmlformats.org/officeDocument/2006/relationships/hyperlink" Target="http://www.nanozip.net/" TargetMode="External"/><Relationship Id="rId98" Type="http://schemas.openxmlformats.org/officeDocument/2006/relationships/hyperlink" Target="ftp://ftp.sac.sk/pub/sac/pack/fpaq0pv5.zip" TargetMode="External"/><Relationship Id="rId121" Type="http://schemas.openxmlformats.org/officeDocument/2006/relationships/hyperlink" Target="ftp://ftp.sac.sk/pub/sac/pack/ucl101.tgz" TargetMode="External"/><Relationship Id="rId142" Type="http://schemas.openxmlformats.org/officeDocument/2006/relationships/hyperlink" Target="ftp://ftp.sac.sk/pub/sac/pack/lzop103w.zip" TargetMode="External"/><Relationship Id="rId163" Type="http://schemas.openxmlformats.org/officeDocument/2006/relationships/hyperlink" Target="ftp://ftp.sac.sk/pub/sac/pack/ash04a.rar" TargetMode="External"/><Relationship Id="rId184" Type="http://schemas.openxmlformats.org/officeDocument/2006/relationships/hyperlink" Target="ftp://ftp.sac.sk/pub/sac/pack/kzip.exe" TargetMode="External"/><Relationship Id="rId219" Type="http://schemas.openxmlformats.org/officeDocument/2006/relationships/hyperlink" Target="ftp://ftp.sac.sk/pub/sac/pack/asd020.exe" TargetMode="External"/><Relationship Id="rId230" Type="http://schemas.openxmlformats.org/officeDocument/2006/relationships/hyperlink" Target="http://compression.ca/pbzip2/" TargetMode="External"/><Relationship Id="rId251" Type="http://schemas.openxmlformats.org/officeDocument/2006/relationships/hyperlink" Target="http://sites.google.com/site/toffer86/cmm4_01f_080527-gcc4.3.7z?attredirects=0" TargetMode="External"/><Relationship Id="rId25" Type="http://schemas.openxmlformats.org/officeDocument/2006/relationships/hyperlink" Target="http://www.rarlabs.com/" TargetMode="External"/><Relationship Id="rId46" Type="http://schemas.openxmlformats.org/officeDocument/2006/relationships/hyperlink" Target="http://www.compression.ru/ds/" TargetMode="External"/><Relationship Id="rId67" Type="http://schemas.openxmlformats.org/officeDocument/2006/relationships/hyperlink" Target="http://www.b1.org/" TargetMode="External"/><Relationship Id="rId272" Type="http://schemas.openxmlformats.org/officeDocument/2006/relationships/hyperlink" Target="ftp://ftp.sac.sk/pub/sac/pack/enc015.zip" TargetMode="External"/><Relationship Id="rId293" Type="http://schemas.openxmlformats.org/officeDocument/2006/relationships/hyperlink" Target="http://www.softpedia.com/get/Compression-tools/Squeez.shtml" TargetMode="External"/><Relationship Id="rId307" Type="http://schemas.openxmlformats.org/officeDocument/2006/relationships/hyperlink" Target="http://mattmahoney.net/dc/zpaq.html" TargetMode="External"/><Relationship Id="rId328" Type="http://schemas.openxmlformats.org/officeDocument/2006/relationships/hyperlink" Target="http://encode.ru/attachment.php?attachmentid=2035&amp;d=1350096607" TargetMode="External"/><Relationship Id="rId88" Type="http://schemas.openxmlformats.org/officeDocument/2006/relationships/hyperlink" Target="ftp://ftp.sac.sk/pub/sac/pack/mar10.zip" TargetMode="External"/><Relationship Id="rId111" Type="http://schemas.openxmlformats.org/officeDocument/2006/relationships/hyperlink" Target="http://tpi.sourceforge.jp/index.php/News" TargetMode="External"/><Relationship Id="rId132" Type="http://schemas.openxmlformats.org/officeDocument/2006/relationships/hyperlink" Target="ftp://ftp.sac.sk/pub/sac/pack/squish10.zip" TargetMode="External"/><Relationship Id="rId153" Type="http://schemas.openxmlformats.org/officeDocument/2006/relationships/hyperlink" Target="http://www.softpedia.com/get/Compression-tools/CHAOS-Compressor.shtml" TargetMode="External"/><Relationship Id="rId174" Type="http://schemas.openxmlformats.org/officeDocument/2006/relationships/hyperlink" Target="ftp://ftp.sac.sk/pub/sac/pack/quark10b.zip" TargetMode="External"/><Relationship Id="rId195" Type="http://schemas.openxmlformats.org/officeDocument/2006/relationships/hyperlink" Target="http://heartofcomp.altervista.org/" TargetMode="External"/><Relationship Id="rId209" Type="http://schemas.openxmlformats.org/officeDocument/2006/relationships/hyperlink" Target="ftp://ftp.sac.sk/pub/sac/pack/ha_nt.zip" TargetMode="External"/><Relationship Id="rId220" Type="http://schemas.openxmlformats.org/officeDocument/2006/relationships/hyperlink" Target="ftp://ftp.sac.sk/pub/sac/pack/quant097.zip" TargetMode="External"/><Relationship Id="rId241" Type="http://schemas.openxmlformats.org/officeDocument/2006/relationships/hyperlink" Target="http://mattmahoney.net/dc/paq1.exe" TargetMode="External"/><Relationship Id="rId15" Type="http://schemas.openxmlformats.org/officeDocument/2006/relationships/hyperlink" Target="http://www.winzip.com/" TargetMode="External"/><Relationship Id="rId36" Type="http://schemas.openxmlformats.org/officeDocument/2006/relationships/hyperlink" Target="http://www.compressionratings.com/files/squeezechart_src.7z" TargetMode="External"/><Relationship Id="rId57" Type="http://schemas.openxmlformats.org/officeDocument/2006/relationships/hyperlink" Target="ftp://ftp.sac.sk/pub/sac/pack" TargetMode="External"/><Relationship Id="rId262" Type="http://schemas.openxmlformats.org/officeDocument/2006/relationships/hyperlink" Target="ftp://ftp.sac.sk/pub/sac/pack/ctxf075p.zip" TargetMode="External"/><Relationship Id="rId283" Type="http://schemas.openxmlformats.org/officeDocument/2006/relationships/hyperlink" Target="http://www.emit.jp/dgca/dgca_v110e.exe" TargetMode="External"/><Relationship Id="rId318" Type="http://schemas.openxmlformats.org/officeDocument/2006/relationships/hyperlink" Target="http://www.metacompressor.com/download/kwc.zip" TargetMode="External"/><Relationship Id="rId339" Type="http://schemas.openxmlformats.org/officeDocument/2006/relationships/image" Target="../media/image3.png"/><Relationship Id="rId78" Type="http://schemas.openxmlformats.org/officeDocument/2006/relationships/hyperlink" Target="ftp://ftp.sac.sk/pub/sac/pack/btspk.arj" TargetMode="External"/><Relationship Id="rId99" Type="http://schemas.openxmlformats.org/officeDocument/2006/relationships/hyperlink" Target="http://www.fileplanet.com/125891/120000/fileinfo/WinMPQ" TargetMode="External"/><Relationship Id="rId101" Type="http://schemas.openxmlformats.org/officeDocument/2006/relationships/hyperlink" Target="ftp://ftp.sac.sk/pub/sac/pack/top4.zip" TargetMode="External"/><Relationship Id="rId122" Type="http://schemas.openxmlformats.org/officeDocument/2006/relationships/hyperlink" Target="ftp://ftp.sac.sk/pub/sac/pack/pkze110s.exe" TargetMode="External"/><Relationship Id="rId143" Type="http://schemas.openxmlformats.org/officeDocument/2006/relationships/hyperlink" Target="ftp://ftp.sac.sk/pub/sac/pack/noah110.zip" TargetMode="External"/><Relationship Id="rId164" Type="http://schemas.openxmlformats.org/officeDocument/2006/relationships/hyperlink" Target="ftp://ftp.sac.sk/pub/sac/pack/vuzip18.exe" TargetMode="External"/><Relationship Id="rId185" Type="http://schemas.openxmlformats.org/officeDocument/2006/relationships/hyperlink" Target="ftp://ftp.sac.sk/pub/sac/pack/rdm006be.zip" TargetMode="External"/><Relationship Id="rId9" Type="http://schemas.openxmlformats.org/officeDocument/2006/relationships/hyperlink" Target="http://www.nanozip.net/" TargetMode="External"/><Relationship Id="rId210" Type="http://schemas.openxmlformats.org/officeDocument/2006/relationships/hyperlink" Target="http://code.google.com/p/comprox/" TargetMode="External"/><Relationship Id="rId26" Type="http://schemas.openxmlformats.org/officeDocument/2006/relationships/hyperlink" Target="http://www.winace.com/" TargetMode="External"/><Relationship Id="rId231" Type="http://schemas.openxmlformats.org/officeDocument/2006/relationships/hyperlink" Target="http://compression.ca/pbzip2/" TargetMode="External"/><Relationship Id="rId252" Type="http://schemas.openxmlformats.org/officeDocument/2006/relationships/hyperlink" Target="http://sites.google.com/site/toffer86/cmm4_02b_010908.7z/" TargetMode="External"/><Relationship Id="rId273" Type="http://schemas.openxmlformats.org/officeDocument/2006/relationships/hyperlink" Target="ftp://ftp.sac.sk/pub/sac/pack/abc_24.zip" TargetMode="External"/><Relationship Id="rId294" Type="http://schemas.openxmlformats.org/officeDocument/2006/relationships/hyperlink" Target="ftp://ftp.sac.sk/pub/sac/pack/comprsia.exe" TargetMode="External"/><Relationship Id="rId308" Type="http://schemas.openxmlformats.org/officeDocument/2006/relationships/hyperlink" Target="http://mattmahoney.net/dc/zpaq.html" TargetMode="External"/><Relationship Id="rId329" Type="http://schemas.openxmlformats.org/officeDocument/2006/relationships/hyperlink" Target="http://heartofcomp.altervista.org/zcm.zip" TargetMode="External"/><Relationship Id="rId47" Type="http://schemas.openxmlformats.org/officeDocument/2006/relationships/hyperlink" Target="http://www.compression.ru/ds/" TargetMode="External"/><Relationship Id="rId68" Type="http://schemas.openxmlformats.org/officeDocument/2006/relationships/hyperlink" Target="http://ultra7z.ru/" TargetMode="External"/><Relationship Id="rId89" Type="http://schemas.openxmlformats.org/officeDocument/2006/relationships/hyperlink" Target="ftp://ftp.sac.sk/pub/sac/pack/m99.zip" TargetMode="External"/><Relationship Id="rId112" Type="http://schemas.openxmlformats.org/officeDocument/2006/relationships/hyperlink" Target="http://ftk.ys168.com/note/fd.htm?http://ys-F.ys168.com/1.0/272044716/o535K477I5I2PfRiRJUHws/CSC32.exe" TargetMode="External"/><Relationship Id="rId133" Type="http://schemas.openxmlformats.org/officeDocument/2006/relationships/hyperlink" Target="ftp://ftp.sac.sk/pub/sac/pack/scrnch.zip" TargetMode="External"/><Relationship Id="rId154" Type="http://schemas.openxmlformats.org/officeDocument/2006/relationships/hyperlink" Target="http://www3.big.or.jp/~schaft/download/" TargetMode="External"/><Relationship Id="rId175" Type="http://schemas.openxmlformats.org/officeDocument/2006/relationships/hyperlink" Target="ftp://ftp.sac.sk/pub/sac/pack/sky115.zip" TargetMode="External"/><Relationship Id="rId340" Type="http://schemas.openxmlformats.org/officeDocument/2006/relationships/comments" Target="../comments1.xml"/><Relationship Id="rId196" Type="http://schemas.openxmlformats.org/officeDocument/2006/relationships/hyperlink" Target="http://heartofcomp.altervista.org/" TargetMode="External"/><Relationship Id="rId200" Type="http://schemas.openxmlformats.org/officeDocument/2006/relationships/hyperlink" Target="http://heartofcomp.altervista.org/" TargetMode="External"/><Relationship Id="rId16" Type="http://schemas.openxmlformats.org/officeDocument/2006/relationships/hyperlink" Target="http://www.winzip.com/" TargetMode="External"/><Relationship Id="rId221" Type="http://schemas.openxmlformats.org/officeDocument/2006/relationships/hyperlink" Target="ftp://ftp.sac.sk/pub/sac/pack/ctw01w32.zip" TargetMode="External"/><Relationship Id="rId242" Type="http://schemas.openxmlformats.org/officeDocument/2006/relationships/hyperlink" Target="http://www.iceows.com/Download/Ice420U.exe" TargetMode="External"/><Relationship Id="rId263" Type="http://schemas.openxmlformats.org/officeDocument/2006/relationships/hyperlink" Target="http://www.altools.com/ALTools/ALZip.aspx" TargetMode="External"/><Relationship Id="rId284" Type="http://schemas.openxmlformats.org/officeDocument/2006/relationships/hyperlink" Target="ftp://ftp.sac.sk/pub/sac/pack/lzpxj12h.zip" TargetMode="External"/><Relationship Id="rId319" Type="http://schemas.openxmlformats.org/officeDocument/2006/relationships/hyperlink" Target="http://essensolabs.com/" TargetMode="External"/><Relationship Id="rId37" Type="http://schemas.openxmlformats.org/officeDocument/2006/relationships/hyperlink" Target="http://www.compressionratings.com/files/squeezechart_dna.7z" TargetMode="External"/><Relationship Id="rId58" Type="http://schemas.openxmlformats.org/officeDocument/2006/relationships/hyperlink" Target="http://www.digitalhigh.de/files/m7zRepacker_Download.php" TargetMode="External"/><Relationship Id="rId79" Type="http://schemas.openxmlformats.org/officeDocument/2006/relationships/hyperlink" Target="ftp://ftp.sac.sk/pub/sac/pack/slim110a.zip" TargetMode="External"/><Relationship Id="rId102" Type="http://schemas.openxmlformats.org/officeDocument/2006/relationships/hyperlink" Target="http://cbloom.com/src/index_lz.html" TargetMode="External"/><Relationship Id="rId123" Type="http://schemas.openxmlformats.org/officeDocument/2006/relationships/hyperlink" Target="ftp://ftp.sac.sk/pub/sac/pack/cha1-2.exe" TargetMode="External"/><Relationship Id="rId144" Type="http://schemas.openxmlformats.org/officeDocument/2006/relationships/hyperlink" Target="http://www.senthilkumarr.com/" TargetMode="External"/><Relationship Id="rId330" Type="http://schemas.openxmlformats.org/officeDocument/2006/relationships/hyperlink" Target="http://mattmahoney.net/dc/zpaq.html" TargetMode="External"/><Relationship Id="rId90" Type="http://schemas.openxmlformats.org/officeDocument/2006/relationships/hyperlink" Target="ftp://ftp.sac.sk/pub/sac/pack/splint.zip" TargetMode="External"/><Relationship Id="rId165" Type="http://schemas.openxmlformats.org/officeDocument/2006/relationships/hyperlink" Target="ftp://ftp.sac.sk/pub/sac/pack/amgc23.zip" TargetMode="External"/><Relationship Id="rId186" Type="http://schemas.openxmlformats.org/officeDocument/2006/relationships/hyperlink" Target="ftp://ftp.sac.sk/pub/sac/pack/dca101.exe" TargetMode="External"/><Relationship Id="rId211" Type="http://schemas.openxmlformats.org/officeDocument/2006/relationships/hyperlink" Target="http://code.google.com/p/comprox/" TargetMode="External"/><Relationship Id="rId232" Type="http://schemas.openxmlformats.org/officeDocument/2006/relationships/hyperlink" Target="http://freecode.com/projects/lbzip2" TargetMode="External"/><Relationship Id="rId253" Type="http://schemas.openxmlformats.org/officeDocument/2006/relationships/hyperlink" Target="http://sites.google.com/site/toffer86/cmm3_080207_test.7z/" TargetMode="External"/><Relationship Id="rId274" Type="http://schemas.openxmlformats.org/officeDocument/2006/relationships/hyperlink" Target="ftp://ftp.sac.sk/pub/sac/pack/grzip.zip" TargetMode="External"/><Relationship Id="rId295" Type="http://schemas.openxmlformats.org/officeDocument/2006/relationships/hyperlink" Target="ftp://ftp.sac.sk/pub/sac/pack/slim0021.zip" TargetMode="External"/><Relationship Id="rId309" Type="http://schemas.openxmlformats.org/officeDocument/2006/relationships/hyperlink" Target="http://comprox.googlecode.com/files/comprolz-0.1.0.tar.gz" TargetMode="External"/><Relationship Id="rId27" Type="http://schemas.openxmlformats.org/officeDocument/2006/relationships/hyperlink" Target="http://www.bzip.org/" TargetMode="External"/><Relationship Id="rId48" Type="http://schemas.openxmlformats.org/officeDocument/2006/relationships/hyperlink" Target="http://www.compression.ru/ds/" TargetMode="External"/><Relationship Id="rId69" Type="http://schemas.openxmlformats.org/officeDocument/2006/relationships/hyperlink" Target="http://heartofcomp.altervista.org/zcm.zip" TargetMode="External"/><Relationship Id="rId113" Type="http://schemas.openxmlformats.org/officeDocument/2006/relationships/hyperlink" Target="http://ftk.ys168.com/note/fd.htm?http://ys-F.ys168.com/1.0/272044716/o535K477I5I2PfRiRJUHws/CSC32.exe" TargetMode="External"/><Relationship Id="rId134" Type="http://schemas.openxmlformats.org/officeDocument/2006/relationships/hyperlink" Target="ftp://ftp.sac.sk/pub/sac/pack/deepf106.exe" TargetMode="External"/><Relationship Id="rId320" Type="http://schemas.openxmlformats.org/officeDocument/2006/relationships/hyperlink" Target="http://mattmahoney.net/dc/text.html" TargetMode="External"/><Relationship Id="rId80" Type="http://schemas.openxmlformats.org/officeDocument/2006/relationships/hyperlink" Target="ftp://ftp.sac.sk/pub/sac/pack/gas20.zip" TargetMode="External"/><Relationship Id="rId155" Type="http://schemas.openxmlformats.org/officeDocument/2006/relationships/hyperlink" Target="ftp://ftp.sac.sk/pub/sac/pack/hpack79d.zip" TargetMode="External"/><Relationship Id="rId176" Type="http://schemas.openxmlformats.org/officeDocument/2006/relationships/hyperlink" Target="http://homepage3.nifty.com/micco/dlfile/LMEL165C.EXE" TargetMode="External"/><Relationship Id="rId197" Type="http://schemas.openxmlformats.org/officeDocument/2006/relationships/hyperlink" Target="http://heartofcomp.altervista.org/" TargetMode="External"/><Relationship Id="rId201" Type="http://schemas.openxmlformats.org/officeDocument/2006/relationships/hyperlink" Target="http://heartofcomp.altervista.org/HOOK/home.htm" TargetMode="External"/><Relationship Id="rId222" Type="http://schemas.openxmlformats.org/officeDocument/2006/relationships/hyperlink" Target="ftp://ftp.sac.sk/pub/sac/pack/par200a.exe" TargetMode="External"/><Relationship Id="rId243" Type="http://schemas.openxmlformats.org/officeDocument/2006/relationships/hyperlink" Target="ftp://ftp.sac.sk/pub/sac/pack/balz115.zip" TargetMode="External"/><Relationship Id="rId264" Type="http://schemas.openxmlformats.org/officeDocument/2006/relationships/hyperlink" Target="http://forrox.narod.ru/files/bma_1.35beta.rar" TargetMode="External"/><Relationship Id="rId285" Type="http://schemas.openxmlformats.org/officeDocument/2006/relationships/hyperlink" Target="ftp://ftp.sac.sk/pub/sac/pack/uhbc10.zip" TargetMode="External"/><Relationship Id="rId17" Type="http://schemas.openxmlformats.org/officeDocument/2006/relationships/hyperlink" Target="http://www.winzip.com/" TargetMode="External"/><Relationship Id="rId38" Type="http://schemas.openxmlformats.org/officeDocument/2006/relationships/hyperlink" Target="http://www.compressionratings.com/files/squeezechart_xml.7z" TargetMode="External"/><Relationship Id="rId59" Type="http://schemas.openxmlformats.org/officeDocument/2006/relationships/hyperlink" Target="http://ultra7z.ru/" TargetMode="External"/><Relationship Id="rId103" Type="http://schemas.openxmlformats.org/officeDocument/2006/relationships/hyperlink" Target="ftp://ftp.sac.sk/pub/sac/pack/ddjcompr.zip" TargetMode="External"/><Relationship Id="rId124" Type="http://schemas.openxmlformats.org/officeDocument/2006/relationships/hyperlink" Target="ftp://ftp.sac.sk/pub/sac/pack/jam.zip" TargetMode="External"/><Relationship Id="rId310" Type="http://schemas.openxmlformats.org/officeDocument/2006/relationships/hyperlink" Target="http://darchiver.narod.ru/dark/dark-0.51-win.zip" TargetMode="External"/><Relationship Id="rId70" Type="http://schemas.openxmlformats.org/officeDocument/2006/relationships/hyperlink" Target="http://www.rarlabs.com/" TargetMode="External"/><Relationship Id="rId91" Type="http://schemas.openxmlformats.org/officeDocument/2006/relationships/hyperlink" Target="ftp://ftp.sac.sk/pub/sac/pack/arca129.zip" TargetMode="External"/><Relationship Id="rId145" Type="http://schemas.openxmlformats.org/officeDocument/2006/relationships/hyperlink" Target="ftp://ftp.sac.sk/pub/sac/pack/arq32.zip" TargetMode="External"/><Relationship Id="rId166" Type="http://schemas.openxmlformats.org/officeDocument/2006/relationships/hyperlink" Target="ftp://ftp.sac.sk/pub/sac/pack/zet010.zip" TargetMode="External"/><Relationship Id="rId187" Type="http://schemas.openxmlformats.org/officeDocument/2006/relationships/hyperlink" Target="ftp://members.aol.com/arjsoftdir/files/jar102x.exe" TargetMode="External"/><Relationship Id="rId331" Type="http://schemas.openxmlformats.org/officeDocument/2006/relationships/hyperlink" Target="http://code.google.com/p/comprox/" TargetMode="External"/><Relationship Id="rId1" Type="http://schemas.openxmlformats.org/officeDocument/2006/relationships/hyperlink" Target="mailto:squeezechart@gmx.de" TargetMode="External"/><Relationship Id="rId212" Type="http://schemas.openxmlformats.org/officeDocument/2006/relationships/hyperlink" Target="http://code.google.com/p/comprox/" TargetMode="External"/><Relationship Id="rId233" Type="http://schemas.openxmlformats.org/officeDocument/2006/relationships/hyperlink" Target="ftp://ftp.sac.sk/pub/sac/pack/bix100b7.zip" TargetMode="External"/><Relationship Id="rId254" Type="http://schemas.openxmlformats.org/officeDocument/2006/relationships/hyperlink" Target="http://sites.google.com/site/toffer86/cmm1-src.7z?attredirects=0" TargetMode="External"/><Relationship Id="rId28" Type="http://schemas.openxmlformats.org/officeDocument/2006/relationships/hyperlink" Target="http://schnaader.info/precomp.php" TargetMode="External"/><Relationship Id="rId49" Type="http://schemas.openxmlformats.org/officeDocument/2006/relationships/hyperlink" Target="http://www.compressionratings.com/files/squeezechart_installer.7z" TargetMode="External"/><Relationship Id="rId114" Type="http://schemas.openxmlformats.org/officeDocument/2006/relationships/hyperlink" Target="http://ftk.ys168.com/note/fd.htm?http://ys-F.ys168.com/1.0/272044716/o535K477I5I2PfRiRJUHws/CSC32.exe" TargetMode="External"/><Relationship Id="rId275" Type="http://schemas.openxmlformats.org/officeDocument/2006/relationships/hyperlink" Target="ftp://ftp.sac.sk/pub/sac/pack/m99.zip" TargetMode="External"/><Relationship Id="rId296" Type="http://schemas.openxmlformats.org/officeDocument/2006/relationships/hyperlink" Target="ftp://ftp.sac.sk/pub/sac/pack/slim023d.zip" TargetMode="External"/><Relationship Id="rId300" Type="http://schemas.openxmlformats.org/officeDocument/2006/relationships/hyperlink" Target="http://heartofcomp.altervista.org/" TargetMode="External"/><Relationship Id="rId60" Type="http://schemas.openxmlformats.org/officeDocument/2006/relationships/hyperlink" Target="ftp://ftp.sac.sk/pub/sac/pack/uharc06b.zip" TargetMode="External"/><Relationship Id="rId81" Type="http://schemas.openxmlformats.org/officeDocument/2006/relationships/hyperlink" Target="http://bindesh.youneedme.googlepages.com/RLC.zip" TargetMode="External"/><Relationship Id="rId135" Type="http://schemas.openxmlformats.org/officeDocument/2006/relationships/hyperlink" Target="ftp://ftp.sac.sk/pub/sac/pack/eli5750.zip" TargetMode="External"/><Relationship Id="rId156" Type="http://schemas.openxmlformats.org/officeDocument/2006/relationships/hyperlink" Target="ftp://ftp.sac.sk/pub/sac/pack/hap306.zip" TargetMode="External"/><Relationship Id="rId177" Type="http://schemas.openxmlformats.org/officeDocument/2006/relationships/hyperlink" Target="ftp://ftp.sac.sk/pub/sac/pack/lhark04d.zip" TargetMode="External"/><Relationship Id="rId198" Type="http://schemas.openxmlformats.org/officeDocument/2006/relationships/hyperlink" Target="http://heartofcomp.altervista.org/" TargetMode="External"/><Relationship Id="rId321" Type="http://schemas.openxmlformats.org/officeDocument/2006/relationships/hyperlink" Target="http://compgt.googlepages.com/lz77" TargetMode="External"/><Relationship Id="rId202" Type="http://schemas.openxmlformats.org/officeDocument/2006/relationships/hyperlink" Target="http://encode.ru/attachment.php?attachmentid=1958&amp;d=1339160220" TargetMode="External"/><Relationship Id="rId223" Type="http://schemas.openxmlformats.org/officeDocument/2006/relationships/hyperlink" Target="http://www.winhki.com/download/setuphki.exe" TargetMode="External"/><Relationship Id="rId244" Type="http://schemas.openxmlformats.org/officeDocument/2006/relationships/hyperlink" Target="ftp://ftp.sac.sk/pub/sac/pack/stuff85e.exe" TargetMode="External"/><Relationship Id="rId18" Type="http://schemas.openxmlformats.org/officeDocument/2006/relationships/hyperlink" Target="http://www.7-zip.org/" TargetMode="External"/><Relationship Id="rId39" Type="http://schemas.openxmlformats.org/officeDocument/2006/relationships/hyperlink" Target="http://www.compressionratings.com/files/squeezechart_mobile.7z" TargetMode="External"/><Relationship Id="rId265" Type="http://schemas.openxmlformats.org/officeDocument/2006/relationships/hyperlink" Target="http://forrox.narod.ru/files/bma_1.33beta.rar" TargetMode="External"/><Relationship Id="rId286" Type="http://schemas.openxmlformats.org/officeDocument/2006/relationships/hyperlink" Target="http://ctxmodel.net/files/PPMd/ppmd_Jr1_sh8.rar" TargetMode="External"/><Relationship Id="rId50" Type="http://schemas.openxmlformats.org/officeDocument/2006/relationships/hyperlink" Target="http://www.nicodevries.com/nico/professional.php" TargetMode="External"/><Relationship Id="rId104" Type="http://schemas.openxmlformats.org/officeDocument/2006/relationships/hyperlink" Target="ftp://ftp.sac.sk/pub/sac/pack/ddjcompr.zip" TargetMode="External"/><Relationship Id="rId125" Type="http://schemas.openxmlformats.org/officeDocument/2006/relationships/hyperlink" Target="ftp://ftp.sac.sk/pub/sac/pack/pak251.exe" TargetMode="External"/><Relationship Id="rId146" Type="http://schemas.openxmlformats.org/officeDocument/2006/relationships/hyperlink" Target="ftp://ftp.sac.sk/pub/sac/pack/lha267e.exe" TargetMode="External"/><Relationship Id="rId167" Type="http://schemas.openxmlformats.org/officeDocument/2006/relationships/hyperlink" Target="ftp://ftp.sac.sk/pub/sac/pack/dzip29.exe" TargetMode="External"/><Relationship Id="rId188" Type="http://schemas.openxmlformats.org/officeDocument/2006/relationships/hyperlink" Target="http://freearc.org/download/research/4x4ver01.zip" TargetMode="External"/><Relationship Id="rId311" Type="http://schemas.openxmlformats.org/officeDocument/2006/relationships/hyperlink" Target="http://mattmahoney.net/dc/m99.zip" TargetMode="External"/><Relationship Id="rId332" Type="http://schemas.openxmlformats.org/officeDocument/2006/relationships/hyperlink" Target="http://heartofcomp.altervista.org/" TargetMode="External"/><Relationship Id="rId71" Type="http://schemas.openxmlformats.org/officeDocument/2006/relationships/hyperlink" Target="http://compressionratings.com/files/mnzip-0.zip" TargetMode="External"/><Relationship Id="rId92" Type="http://schemas.openxmlformats.org/officeDocument/2006/relationships/hyperlink" Target="ftp://ftp.sac.sk/pub/sac/pack/tlzrw1.zip" TargetMode="External"/><Relationship Id="rId213" Type="http://schemas.openxmlformats.org/officeDocument/2006/relationships/hyperlink" Target="ftp://ftp.sac.sk/pub/sac/pack/x1nt95a.zip" TargetMode="External"/><Relationship Id="rId234" Type="http://schemas.openxmlformats.org/officeDocument/2006/relationships/hyperlink" Target="http://www.rkeene.org/oss/dact/" TargetMode="External"/><Relationship Id="rId2" Type="http://schemas.openxmlformats.org/officeDocument/2006/relationships/hyperlink" Target="http://www.ezcodesample.com/rolz/iROLZ.exe" TargetMode="External"/><Relationship Id="rId29" Type="http://schemas.openxmlformats.org/officeDocument/2006/relationships/hyperlink" Target="http://schnaader.info/precomp.php" TargetMode="External"/><Relationship Id="rId255" Type="http://schemas.openxmlformats.org/officeDocument/2006/relationships/hyperlink" Target="http://sites.google.com/site/ctxtree/xpv5.rar?attredirects=0" TargetMode="External"/><Relationship Id="rId276" Type="http://schemas.openxmlformats.org/officeDocument/2006/relationships/hyperlink" Target="ftp://ftp.sac.sk/pub/sac/pack/tc43.zip" TargetMode="External"/><Relationship Id="rId297" Type="http://schemas.openxmlformats.org/officeDocument/2006/relationships/hyperlink" Target="http://www.cs.fit.edu/~mmahoney/compression/lpaq1v2.zip" TargetMode="External"/><Relationship Id="rId40" Type="http://schemas.openxmlformats.org/officeDocument/2006/relationships/hyperlink" Target="http://www.compressionratings.com/files/squeezechart_gutenberg.7z" TargetMode="External"/><Relationship Id="rId115" Type="http://schemas.openxmlformats.org/officeDocument/2006/relationships/hyperlink" Target="http://ftk.ys168.com/note/fd.htm?http://ys-F.ys168.com/1.0/272044716/o535K477I5I2PfRiRJUHws/CSC32.exe" TargetMode="External"/><Relationship Id="rId136" Type="http://schemas.openxmlformats.org/officeDocument/2006/relationships/hyperlink" Target="ftp://ftp.sac.sk/pub/sac/pack/ice102c.zip" TargetMode="External"/><Relationship Id="rId157" Type="http://schemas.openxmlformats.org/officeDocument/2006/relationships/hyperlink" Target="ftp://ftp.sac.sk/pub/sac/pack/hap40td2.zip" TargetMode="External"/><Relationship Id="rId178" Type="http://schemas.openxmlformats.org/officeDocument/2006/relationships/hyperlink" Target="ftp://ftp.sac.sk/pub/sac/pack/yac102.zip" TargetMode="External"/><Relationship Id="rId301" Type="http://schemas.openxmlformats.org/officeDocument/2006/relationships/hyperlink" Target="http://www.ctxmodel.net/files/LZP-DS_v0.rar" TargetMode="External"/><Relationship Id="rId322" Type="http://schemas.openxmlformats.org/officeDocument/2006/relationships/hyperlink" Target="https://github.com/tarsa/TarsaLZP" TargetMode="External"/><Relationship Id="rId61" Type="http://schemas.openxmlformats.org/officeDocument/2006/relationships/hyperlink" Target="http://heartofcomp.altervista.org/zcm.zip" TargetMode="External"/><Relationship Id="rId82" Type="http://schemas.openxmlformats.org/officeDocument/2006/relationships/hyperlink" Target="ftp://ftp.sac.sk/pub/sac/pack/reduq.zip" TargetMode="External"/><Relationship Id="rId199" Type="http://schemas.openxmlformats.org/officeDocument/2006/relationships/hyperlink" Target="http://heartofcomp.altervista.org/" TargetMode="External"/><Relationship Id="rId203" Type="http://schemas.openxmlformats.org/officeDocument/2006/relationships/hyperlink" Target="http://heartofcomp.altervista.org/" TargetMode="External"/><Relationship Id="rId19" Type="http://schemas.openxmlformats.org/officeDocument/2006/relationships/hyperlink" Target="http://nishi.dreamhosters.com/u/reflate_v0c1.rar" TargetMode="External"/><Relationship Id="rId224" Type="http://schemas.openxmlformats.org/officeDocument/2006/relationships/hyperlink" Target="ftp://ftp.sac.sk/pub/sac/pack/xtrem106.zip" TargetMode="External"/><Relationship Id="rId245" Type="http://schemas.openxmlformats.org/officeDocument/2006/relationships/hyperlink" Target="ftp://ftp.sac.sk/pub/sac/pack/bioarc19.zip" TargetMode="External"/><Relationship Id="rId266" Type="http://schemas.openxmlformats.org/officeDocument/2006/relationships/hyperlink" Target="ftp://ftp.sac.sk/pub/sac/pack/ybs003fw.zip" TargetMode="External"/><Relationship Id="rId287" Type="http://schemas.openxmlformats.org/officeDocument/2006/relationships/hyperlink" Target="http://nishi.dreamhosters.com/u/lzmarec_v4b_bin.rar" TargetMode="External"/><Relationship Id="rId30" Type="http://schemas.openxmlformats.org/officeDocument/2006/relationships/hyperlink" Target="http://www.7-zip.org/" TargetMode="External"/><Relationship Id="rId105" Type="http://schemas.openxmlformats.org/officeDocument/2006/relationships/hyperlink" Target="ftp://ftp.sac.sk/pub/sac/pack/ddjcompr.zip" TargetMode="External"/><Relationship Id="rId126" Type="http://schemas.openxmlformats.org/officeDocument/2006/relationships/hyperlink" Target="ftp://ftp.sac.sk/pub/sac/pack/cpshrink.zip" TargetMode="External"/><Relationship Id="rId147" Type="http://schemas.openxmlformats.org/officeDocument/2006/relationships/hyperlink" Target="ftp://ftp.sac.sk/pub/sac/pack/wwp305b5.zip" TargetMode="External"/><Relationship Id="rId168" Type="http://schemas.openxmlformats.org/officeDocument/2006/relationships/hyperlink" Target="ftp://ftp.sac.sk/pub/sac/pack/ain232.exe" TargetMode="External"/><Relationship Id="rId312" Type="http://schemas.openxmlformats.org/officeDocument/2006/relationships/hyperlink" Target="http://www.michael-maniscalco.com/index.htm" TargetMode="External"/><Relationship Id="rId333" Type="http://schemas.openxmlformats.org/officeDocument/2006/relationships/hyperlink" Target="http://freearc.org/" TargetMode="External"/><Relationship Id="rId51" Type="http://schemas.openxmlformats.org/officeDocument/2006/relationships/hyperlink" Target="ftp://ftp.stack.nl/pub/users/willem/" TargetMode="External"/><Relationship Id="rId72" Type="http://schemas.openxmlformats.org/officeDocument/2006/relationships/hyperlink" Target="http://www.stuffit.com/" TargetMode="External"/><Relationship Id="rId93" Type="http://schemas.openxmlformats.org/officeDocument/2006/relationships/hyperlink" Target="ftp://ftp.sac.sk/pub/sac/pack/jrc110.zip" TargetMode="External"/><Relationship Id="rId189" Type="http://schemas.openxmlformats.org/officeDocument/2006/relationships/hyperlink" Target="http://freearc.org/download/research/tornado01.zip" TargetMode="External"/><Relationship Id="rId3" Type="http://schemas.openxmlformats.org/officeDocument/2006/relationships/hyperlink" Target="http://www.nanozip.net/" TargetMode="External"/><Relationship Id="rId214" Type="http://schemas.openxmlformats.org/officeDocument/2006/relationships/hyperlink" Target="http://mattmahoney.net/dc/p12.exe" TargetMode="External"/><Relationship Id="rId235" Type="http://schemas.openxmlformats.org/officeDocument/2006/relationships/hyperlink" Target="http://homepage3.nifty.com/micco/dlfile/LMEL165C.EXE" TargetMode="External"/><Relationship Id="rId256" Type="http://schemas.openxmlformats.org/officeDocument/2006/relationships/hyperlink" Target="http://compressionratings.com/files/ecp-0.e.s.zip" TargetMode="External"/><Relationship Id="rId277" Type="http://schemas.openxmlformats.org/officeDocument/2006/relationships/hyperlink" Target="ftp://ftp.sac.sk/pub/sac/pack/dc124.zip" TargetMode="External"/><Relationship Id="rId298" Type="http://schemas.openxmlformats.org/officeDocument/2006/relationships/hyperlink" Target="http://www.cs.fit.edu/~mmahoney/compression/paq9a.zip" TargetMode="External"/><Relationship Id="rId116" Type="http://schemas.openxmlformats.org/officeDocument/2006/relationships/hyperlink" Target="ftp://ftp.sac.sk/pub/sac/pack/zoo210.exe" TargetMode="External"/><Relationship Id="rId137" Type="http://schemas.openxmlformats.org/officeDocument/2006/relationships/hyperlink" Target="http://archive.org/download/tucows_364302_Jabosoft_Archiver/Archiver_1_0.exe" TargetMode="External"/><Relationship Id="rId158" Type="http://schemas.openxmlformats.org/officeDocument/2006/relationships/hyperlink" Target="http://www.jetico.com/encryption-bcarchive/" TargetMode="External"/><Relationship Id="rId302" Type="http://schemas.openxmlformats.org/officeDocument/2006/relationships/hyperlink" Target="http://stcompression.com/" TargetMode="External"/><Relationship Id="rId323" Type="http://schemas.openxmlformats.org/officeDocument/2006/relationships/hyperlink" Target="http://mattmahoney.net/dc/bpe2v3.cpp" TargetMode="External"/><Relationship Id="rId20" Type="http://schemas.openxmlformats.org/officeDocument/2006/relationships/hyperlink" Target="http://libbsc.com/" TargetMode="External"/><Relationship Id="rId41" Type="http://schemas.openxmlformats.org/officeDocument/2006/relationships/hyperlink" Target="http://www.compressionratings.com/files/squeezechart_app.7z" TargetMode="External"/><Relationship Id="rId62" Type="http://schemas.openxmlformats.org/officeDocument/2006/relationships/hyperlink" Target="http://cbloom.com/" TargetMode="External"/><Relationship Id="rId83" Type="http://schemas.openxmlformats.org/officeDocument/2006/relationships/hyperlink" Target="http://compressionratings.com/files/mtcompressor-1.0.7z" TargetMode="External"/><Relationship Id="rId179" Type="http://schemas.openxmlformats.org/officeDocument/2006/relationships/hyperlink" Target="ftp://ftp.sac.sk/pub/sac/pack/tplzh031.zip" TargetMode="External"/><Relationship Id="rId190" Type="http://schemas.openxmlformats.org/officeDocument/2006/relationships/hyperlink" Target="http://freearc.org/download/research/tornado03.zip" TargetMode="External"/><Relationship Id="rId204" Type="http://schemas.openxmlformats.org/officeDocument/2006/relationships/hyperlink" Target="http://heartofcomp.altervista.org/" TargetMode="External"/><Relationship Id="rId225" Type="http://schemas.openxmlformats.org/officeDocument/2006/relationships/hyperlink" Target="https://github.com/lzap" TargetMode="External"/><Relationship Id="rId246" Type="http://schemas.openxmlformats.org/officeDocument/2006/relationships/hyperlink" Target="ftp://ftp.sac.sk/pub/sac/pack/zzip036c.zip" TargetMode="External"/><Relationship Id="rId267" Type="http://schemas.openxmlformats.org/officeDocument/2006/relationships/hyperlink" Target="ftp://ftp.sac.sk/pub/sac/pack/m99.zip" TargetMode="External"/><Relationship Id="rId288" Type="http://schemas.openxmlformats.org/officeDocument/2006/relationships/hyperlink" Target="http://encode.ru/attachment.php?attachmentid=1400&amp;d=1288545534" TargetMode="External"/><Relationship Id="rId106" Type="http://schemas.openxmlformats.org/officeDocument/2006/relationships/hyperlink" Target="http://code.google.com/p/fastlz/downloads/list" TargetMode="External"/><Relationship Id="rId127" Type="http://schemas.openxmlformats.org/officeDocument/2006/relationships/hyperlink" Target="http://www.quicklz.com/" TargetMode="External"/><Relationship Id="rId313" Type="http://schemas.openxmlformats.org/officeDocument/2006/relationships/hyperlink" Target="http://www.michael-maniscalco.com/index.htm" TargetMode="External"/><Relationship Id="rId10" Type="http://schemas.openxmlformats.org/officeDocument/2006/relationships/hyperlink" Target="http://www.nanozip.net/" TargetMode="External"/><Relationship Id="rId31" Type="http://schemas.openxmlformats.org/officeDocument/2006/relationships/hyperlink" Target="http://www.7-zip.org/" TargetMode="External"/><Relationship Id="rId52" Type="http://schemas.openxmlformats.org/officeDocument/2006/relationships/hyperlink" Target="http://sourceforge.net/projects/ciderpress/" TargetMode="External"/><Relationship Id="rId73" Type="http://schemas.openxmlformats.org/officeDocument/2006/relationships/hyperlink" Target="http://www.hamstersoft.com/" TargetMode="External"/><Relationship Id="rId94" Type="http://schemas.openxmlformats.org/officeDocument/2006/relationships/hyperlink" Target="ftp://ftp.sac.sk/pub/sac/pack/blink.zip" TargetMode="External"/><Relationship Id="rId148" Type="http://schemas.openxmlformats.org/officeDocument/2006/relationships/hyperlink" Target="ftp://ftp.sac.sk/pub/sac/pack/lza101.zip" TargetMode="External"/><Relationship Id="rId169" Type="http://schemas.openxmlformats.org/officeDocument/2006/relationships/hyperlink" Target="ftp://ftp.sac.sk/pub/sac/pack/sqz1083e.exe" TargetMode="External"/><Relationship Id="rId334" Type="http://schemas.openxmlformats.org/officeDocument/2006/relationships/hyperlink" Target="https://github.com/valdmann/crook" TargetMode="External"/><Relationship Id="rId4" Type="http://schemas.openxmlformats.org/officeDocument/2006/relationships/hyperlink" Target="http://www.nanozip.net/" TargetMode="External"/><Relationship Id="rId180" Type="http://schemas.openxmlformats.org/officeDocument/2006/relationships/hyperlink" Target="http://www.elektronik.htw-aalen.de/packjpg/index.htm" TargetMode="External"/><Relationship Id="rId215" Type="http://schemas.openxmlformats.org/officeDocument/2006/relationships/hyperlink" Target="ftp://ftp.sac.sk/pub/sac/pack/rar200sk.exe" TargetMode="External"/><Relationship Id="rId236" Type="http://schemas.openxmlformats.org/officeDocument/2006/relationships/hyperlink" Target="ftp://ftp.sac.sk/pub/sac/pack/imp112.exe" TargetMode="External"/><Relationship Id="rId257" Type="http://schemas.openxmlformats.org/officeDocument/2006/relationships/hyperlink" Target="ftp://ftp.sac.sk/pub/sac/pack/grzipiiw.zip" TargetMode="External"/><Relationship Id="rId278" Type="http://schemas.openxmlformats.org/officeDocument/2006/relationships/hyperlink" Target="http://www.kuaizip.com/en/" TargetMode="External"/><Relationship Id="rId303" Type="http://schemas.openxmlformats.org/officeDocument/2006/relationships/hyperlink" Target="http://freearc.org/" TargetMode="External"/><Relationship Id="rId42" Type="http://schemas.openxmlformats.org/officeDocument/2006/relationships/hyperlink" Target="http://www.arjsoftware.com/" TargetMode="External"/><Relationship Id="rId84" Type="http://schemas.openxmlformats.org/officeDocument/2006/relationships/hyperlink" Target="ftp://ftp.sac.sk/pub/sac/pack/arg.zip" TargetMode="External"/><Relationship Id="rId138" Type="http://schemas.openxmlformats.org/officeDocument/2006/relationships/hyperlink" Target="ftp://ftp.sac.sk/pub/sac/pack/kty_13.zip" TargetMode="External"/><Relationship Id="rId191" Type="http://schemas.openxmlformats.org/officeDocument/2006/relationships/hyperlink" Target="http://freearc.org/download/research/tornado04.zip" TargetMode="External"/><Relationship Id="rId205" Type="http://schemas.openxmlformats.org/officeDocument/2006/relationships/hyperlink" Target="ftp://ftp.sac.sk/pub/sac/pack/lgha11g.zip" TargetMode="External"/><Relationship Id="rId247" Type="http://schemas.openxmlformats.org/officeDocument/2006/relationships/hyperlink" Target="http://encode.ru/attachment.php?attachmentid=1861&amp;d=1330534889" TargetMode="External"/><Relationship Id="rId107" Type="http://schemas.openxmlformats.org/officeDocument/2006/relationships/hyperlink" Target="ftp://ftp.sac.sk/pub/sac/pack/lzs221.zip" TargetMode="External"/><Relationship Id="rId289" Type="http://schemas.openxmlformats.org/officeDocument/2006/relationships/hyperlink" Target="http://www.michael-maniscalco.com/downloads/M03.zip" TargetMode="External"/><Relationship Id="rId11" Type="http://schemas.openxmlformats.org/officeDocument/2006/relationships/hyperlink" Target="http://www.stuffit.com/" TargetMode="External"/><Relationship Id="rId53" Type="http://schemas.openxmlformats.org/officeDocument/2006/relationships/hyperlink" Target="http://sourceforge.net/projects/ciderpress/" TargetMode="External"/><Relationship Id="rId149" Type="http://schemas.openxmlformats.org/officeDocument/2006/relationships/hyperlink" Target="ftp://ftp.sac.sk/pub/sac/pack/cpac135.zip" TargetMode="External"/><Relationship Id="rId314" Type="http://schemas.openxmlformats.org/officeDocument/2006/relationships/hyperlink" Target="http://www.michael-maniscalco.com/index.htm" TargetMode="External"/><Relationship Id="rId95" Type="http://schemas.openxmlformats.org/officeDocument/2006/relationships/hyperlink" Target="ftp://ftp.sac.sk/pub/sac/pack/mdcd10.zip" TargetMode="External"/><Relationship Id="rId160" Type="http://schemas.openxmlformats.org/officeDocument/2006/relationships/hyperlink" Target="ftp://ftp.sac.sk/pub/sac/pack/arjz015.zip" TargetMode="External"/><Relationship Id="rId216" Type="http://schemas.openxmlformats.org/officeDocument/2006/relationships/hyperlink" Target="ftp://ftp.sac.sk/pub/sac/pack/rar250d.exe" TargetMode="External"/><Relationship Id="rId258" Type="http://schemas.openxmlformats.org/officeDocument/2006/relationships/hyperlink" Target="http://www.winarchiver.com/" TargetMode="External"/><Relationship Id="rId22" Type="http://schemas.openxmlformats.org/officeDocument/2006/relationships/hyperlink" Target="http://code.google.com/p/lzham/" TargetMode="External"/><Relationship Id="rId64" Type="http://schemas.openxmlformats.org/officeDocument/2006/relationships/hyperlink" Target="http://www.compressconsult.com/szip/" TargetMode="External"/><Relationship Id="rId118" Type="http://schemas.openxmlformats.org/officeDocument/2006/relationships/hyperlink" Target="ftp://ftp.sac.sk/pub/sac/pack/tscomp.zip" TargetMode="External"/><Relationship Id="rId325" Type="http://schemas.openxmlformats.org/officeDocument/2006/relationships/hyperlink" Target="http://www.powerarchiver.com/" TargetMode="External"/><Relationship Id="rId171" Type="http://schemas.openxmlformats.org/officeDocument/2006/relationships/hyperlink" Target="ftp://ftp.sac.sk/pub/sac/pack/hit.arj" TargetMode="External"/><Relationship Id="rId227" Type="http://schemas.openxmlformats.org/officeDocument/2006/relationships/hyperlink" Target="ftp://ftp.sac.sk/pub/sac/pack/dst09b.zip" TargetMode="External"/><Relationship Id="rId269" Type="http://schemas.openxmlformats.org/officeDocument/2006/relationships/hyperlink" Target="ftp://ftp.sac.sk/pub/sac/pack/winrk312.exe" TargetMode="External"/><Relationship Id="rId33" Type="http://schemas.openxmlformats.org/officeDocument/2006/relationships/hyperlink" Target="http://fastcompression.blogspot.de/p/lz4.html" TargetMode="External"/><Relationship Id="rId129" Type="http://schemas.openxmlformats.org/officeDocument/2006/relationships/hyperlink" Target="ftp://ftp.sac.sk/pub/sac/pack/esp_v192.exe" TargetMode="External"/><Relationship Id="rId280" Type="http://schemas.openxmlformats.org/officeDocument/2006/relationships/hyperlink" Target="http://ssergeo.narod.ru/bin/bssc.exe" TargetMode="External"/><Relationship Id="rId336" Type="http://schemas.openxmlformats.org/officeDocument/2006/relationships/printerSettings" Target="../printerSettings/printerSettings3.bin"/><Relationship Id="rId75" Type="http://schemas.openxmlformats.org/officeDocument/2006/relationships/hyperlink" Target="http://www.nongnu.org/lzip/lzip.html" TargetMode="External"/><Relationship Id="rId140" Type="http://schemas.openxmlformats.org/officeDocument/2006/relationships/hyperlink" Target="ftp://ftp.sac.sk/pub/sac/pack/sbx14.zip" TargetMode="External"/><Relationship Id="rId182" Type="http://schemas.openxmlformats.org/officeDocument/2006/relationships/hyperlink" Target="ftp://ftp.sac.sk/pub/sac/pack/akt32.zip" TargetMode="External"/><Relationship Id="rId6" Type="http://schemas.openxmlformats.org/officeDocument/2006/relationships/hyperlink" Target="http://www.nanozip.net/" TargetMode="External"/><Relationship Id="rId238" Type="http://schemas.openxmlformats.org/officeDocument/2006/relationships/hyperlink" Target="ftp://ftp.sac.sk/pub/sac/pack/quad112.zip" TargetMode="External"/><Relationship Id="rId291" Type="http://schemas.openxmlformats.org/officeDocument/2006/relationships/hyperlink" Target="ftp://ftp.sac.sk/pub/sac/pack/uharc06b.zip" TargetMode="External"/><Relationship Id="rId305" Type="http://schemas.openxmlformats.org/officeDocument/2006/relationships/hyperlink" Target="http://heartofcomp.altervista.org/zcm.zip" TargetMode="External"/><Relationship Id="rId44" Type="http://schemas.openxmlformats.org/officeDocument/2006/relationships/hyperlink" Target="https://sites.google.com/site/sbcarchiver" TargetMode="External"/><Relationship Id="rId86" Type="http://schemas.openxmlformats.org/officeDocument/2006/relationships/hyperlink" Target="ftp://ftp.sac.sk/pub/sac/pack/jarcs094.exe" TargetMode="External"/><Relationship Id="rId151" Type="http://schemas.openxmlformats.org/officeDocument/2006/relationships/hyperlink" Target="ftp://ftp.sac.sk/pub/sac/pack/car150.zip" TargetMode="External"/><Relationship Id="rId193" Type="http://schemas.openxmlformats.org/officeDocument/2006/relationships/hyperlink" Target="http://archiver.reasonables.com/Download.aspx" TargetMode="External"/><Relationship Id="rId207" Type="http://schemas.openxmlformats.org/officeDocument/2006/relationships/hyperlink" Target="ftp://ftp.sac.sk/pub/sac/pack/lzpx15b.zip" TargetMode="External"/><Relationship Id="rId249" Type="http://schemas.openxmlformats.org/officeDocument/2006/relationships/hyperlink" Target="http://encode.narod.ru/pimple143.zip" TargetMode="External"/><Relationship Id="rId13" Type="http://schemas.openxmlformats.org/officeDocument/2006/relationships/hyperlink" Target="http://heartofcomp.altervista.org/ZCM/home.htm" TargetMode="External"/><Relationship Id="rId109" Type="http://schemas.openxmlformats.org/officeDocument/2006/relationships/hyperlink" Target="http://fastcompression.blogspot.de/p/lz4.html" TargetMode="External"/><Relationship Id="rId260" Type="http://schemas.openxmlformats.org/officeDocument/2006/relationships/hyperlink" Target="ftp://ftp.sac.sk/pub/sac/pack/boa058.zip" TargetMode="External"/><Relationship Id="rId316" Type="http://schemas.openxmlformats.org/officeDocument/2006/relationships/hyperlink" Target="http://bijective.dogma.net/arbcx.zip" TargetMode="External"/><Relationship Id="rId55" Type="http://schemas.openxmlformats.org/officeDocument/2006/relationships/hyperlink" Target="http://sourceforge.net/projects/ciderpress/" TargetMode="External"/><Relationship Id="rId97" Type="http://schemas.openxmlformats.org/officeDocument/2006/relationships/hyperlink" Target="ftp://ftp.sac.sk/pub/sac/pack/pak1_0.zip" TargetMode="External"/><Relationship Id="rId120" Type="http://schemas.openxmlformats.org/officeDocument/2006/relationships/hyperlink" Target="ftp://ftp.sac.sk/pub/sac/pack/dwc-a510.exe" TargetMode="External"/><Relationship Id="rId162" Type="http://schemas.openxmlformats.org/officeDocument/2006/relationships/hyperlink" Target="http://peazip.sourceforge.net/" TargetMode="External"/><Relationship Id="rId218" Type="http://schemas.openxmlformats.org/officeDocument/2006/relationships/hyperlink" Target="ftp://ftp.sac.sk/pub/sac/pack/777004b1.zip" TargetMode="External"/><Relationship Id="rId271" Type="http://schemas.openxmlformats.org/officeDocument/2006/relationships/hyperlink" Target="ftp://ftp.sac.sk/pub/sac/pack/winrk312.exe" TargetMode="External"/><Relationship Id="rId24" Type="http://schemas.openxmlformats.org/officeDocument/2006/relationships/hyperlink" Target="http://www.rarlabs.com/" TargetMode="External"/><Relationship Id="rId66" Type="http://schemas.openxmlformats.org/officeDocument/2006/relationships/hyperlink" Target="http://www.winzip.com/" TargetMode="External"/><Relationship Id="rId131" Type="http://schemas.openxmlformats.org/officeDocument/2006/relationships/hyperlink" Target="http://cbloom.com/src/index_lz.html" TargetMode="External"/><Relationship Id="rId327" Type="http://schemas.openxmlformats.org/officeDocument/2006/relationships/hyperlink" Target="http://encode.ru/attachment.php?attachmentid=1767&amp;d=1323796993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real.com/" TargetMode="External"/><Relationship Id="rId117" Type="http://schemas.openxmlformats.org/officeDocument/2006/relationships/printerSettings" Target="../printerSettings/printerSettings4.bin"/><Relationship Id="rId21" Type="http://schemas.openxmlformats.org/officeDocument/2006/relationships/hyperlink" Target="http://www.krishnasoft.com/sps.htm" TargetMode="External"/><Relationship Id="rId42" Type="http://schemas.openxmlformats.org/officeDocument/2006/relationships/hyperlink" Target="http://www.bzip.org/" TargetMode="External"/><Relationship Id="rId47" Type="http://schemas.openxmlformats.org/officeDocument/2006/relationships/hyperlink" Target="http://soundcloud.com/shunward/stripper-luv-acapella" TargetMode="External"/><Relationship Id="rId63" Type="http://schemas.openxmlformats.org/officeDocument/2006/relationships/hyperlink" Target="http://www.lossless-audio.com/" TargetMode="External"/><Relationship Id="rId68" Type="http://schemas.openxmlformats.org/officeDocument/2006/relationships/hyperlink" Target="http://www.losslessaudio.org/" TargetMode="External"/><Relationship Id="rId84" Type="http://schemas.openxmlformats.org/officeDocument/2006/relationships/hyperlink" Target="http://www.winzip.com/" TargetMode="External"/><Relationship Id="rId89" Type="http://schemas.openxmlformats.org/officeDocument/2006/relationships/hyperlink" Target="http://encode.ru/threads/1137-Sac-%28State-of-the-Art%29-Lossless-Audio-Compression?highlight=sac" TargetMode="External"/><Relationship Id="rId112" Type="http://schemas.openxmlformats.org/officeDocument/2006/relationships/hyperlink" Target="http://soundcloud.com/cyan-music/smooth-genestar-the-source" TargetMode="External"/><Relationship Id="rId16" Type="http://schemas.openxmlformats.org/officeDocument/2006/relationships/hyperlink" Target="http://www.losslessaudio.org/" TargetMode="External"/><Relationship Id="rId107" Type="http://schemas.openxmlformats.org/officeDocument/2006/relationships/hyperlink" Target="http://www.speedproject.de/enu/" TargetMode="External"/><Relationship Id="rId11" Type="http://schemas.openxmlformats.org/officeDocument/2006/relationships/hyperlink" Target="http://www.freac.org/index.php/de/downloads-mainmenu-33" TargetMode="External"/><Relationship Id="rId32" Type="http://schemas.openxmlformats.org/officeDocument/2006/relationships/hyperlink" Target="http://www.multitrackstudio.com/download.php" TargetMode="External"/><Relationship Id="rId37" Type="http://schemas.openxmlformats.org/officeDocument/2006/relationships/hyperlink" Target="http://www.nanozip.net/" TargetMode="External"/><Relationship Id="rId53" Type="http://schemas.openxmlformats.org/officeDocument/2006/relationships/hyperlink" Target="http://ftp.sac.sk/sac/pack/vocpak10.zip" TargetMode="External"/><Relationship Id="rId58" Type="http://schemas.openxmlformats.org/officeDocument/2006/relationships/hyperlink" Target="http://www.emit.jp/dgca/dgca_e.html" TargetMode="External"/><Relationship Id="rId74" Type="http://schemas.openxmlformats.org/officeDocument/2006/relationships/hyperlink" Target="http://www.apple.com/itunes/?cid=OAS-US-DOMAINS-itunes.com" TargetMode="External"/><Relationship Id="rId79" Type="http://schemas.openxmlformats.org/officeDocument/2006/relationships/hyperlink" Target="http://sourceforge.net/projects/tta/" TargetMode="External"/><Relationship Id="rId102" Type="http://schemas.openxmlformats.org/officeDocument/2006/relationships/hyperlink" Target="http://www.mattmahoney.net/dc/text.html" TargetMode="External"/><Relationship Id="rId5" Type="http://schemas.openxmlformats.org/officeDocument/2006/relationships/hyperlink" Target="http://www.rarlabs.com/" TargetMode="External"/><Relationship Id="rId90" Type="http://schemas.openxmlformats.org/officeDocument/2006/relationships/hyperlink" Target="http://heartofcomp.altervista.org/zcm.zip" TargetMode="External"/><Relationship Id="rId95" Type="http://schemas.openxmlformats.org/officeDocument/2006/relationships/hyperlink" Target="http://www.krishnasoft.com/sps.htm" TargetMode="External"/><Relationship Id="rId22" Type="http://schemas.openxmlformats.org/officeDocument/2006/relationships/hyperlink" Target="http://ftp.sac.sk/sac/pack/lpacarch.zip" TargetMode="External"/><Relationship Id="rId27" Type="http://schemas.openxmlformats.org/officeDocument/2006/relationships/hyperlink" Target="http://sourceforge.net/projects/flac/?source=directory" TargetMode="External"/><Relationship Id="rId43" Type="http://schemas.openxmlformats.org/officeDocument/2006/relationships/hyperlink" Target="http://www.sonycreativesoftware.com/download/trials/soundforge" TargetMode="External"/><Relationship Id="rId48" Type="http://schemas.openxmlformats.org/officeDocument/2006/relationships/hyperlink" Target="http://soundcloud.com/crystal-newton/declaration-of-love" TargetMode="External"/><Relationship Id="rId64" Type="http://schemas.openxmlformats.org/officeDocument/2006/relationships/hyperlink" Target="http://www.losslessaudio.org/" TargetMode="External"/><Relationship Id="rId69" Type="http://schemas.openxmlformats.org/officeDocument/2006/relationships/hyperlink" Target="http://www.stuffit.com/" TargetMode="External"/><Relationship Id="rId113" Type="http://schemas.openxmlformats.org/officeDocument/2006/relationships/hyperlink" Target="http://soundcloud.com/caalamus/blues-alley-a-caalamus" TargetMode="External"/><Relationship Id="rId118" Type="http://schemas.openxmlformats.org/officeDocument/2006/relationships/drawing" Target="../drawings/drawing2.xml"/><Relationship Id="rId80" Type="http://schemas.openxmlformats.org/officeDocument/2006/relationships/hyperlink" Target="http://www.nue.tu-berlin.de/menue/forschung/projekte/beendete_projekte/mpeg-4_audio_lossless_coding_als/parameter/en/" TargetMode="External"/><Relationship Id="rId85" Type="http://schemas.openxmlformats.org/officeDocument/2006/relationships/hyperlink" Target="http://www.wavpack.com/" TargetMode="External"/><Relationship Id="rId12" Type="http://schemas.openxmlformats.org/officeDocument/2006/relationships/hyperlink" Target="http://www.lossless-audio.com/" TargetMode="External"/><Relationship Id="rId17" Type="http://schemas.openxmlformats.org/officeDocument/2006/relationships/hyperlink" Target="http://www.losslessaudio.org/" TargetMode="External"/><Relationship Id="rId33" Type="http://schemas.openxmlformats.org/officeDocument/2006/relationships/hyperlink" Target="http://www.all4mp3.com/tools/mp3HD-tools.php" TargetMode="External"/><Relationship Id="rId38" Type="http://schemas.openxmlformats.org/officeDocument/2006/relationships/hyperlink" Target="http://www.thbeck.de/Tak/Tak.html" TargetMode="External"/><Relationship Id="rId59" Type="http://schemas.openxmlformats.org/officeDocument/2006/relationships/hyperlink" Target="http://ftp.sac.sk/sac/pack/uharc06b.zip" TargetMode="External"/><Relationship Id="rId103" Type="http://schemas.openxmlformats.org/officeDocument/2006/relationships/hyperlink" Target="http://www.mattmahoney.net/dc/text.html" TargetMode="External"/><Relationship Id="rId108" Type="http://schemas.openxmlformats.org/officeDocument/2006/relationships/hyperlink" Target="ftp://ftp.sac.sk/pub/sac/pack/winrk312.exe" TargetMode="External"/><Relationship Id="rId54" Type="http://schemas.openxmlformats.org/officeDocument/2006/relationships/hyperlink" Target="http://onda.sourceforge.net/" TargetMode="External"/><Relationship Id="rId70" Type="http://schemas.openxmlformats.org/officeDocument/2006/relationships/hyperlink" Target="http://www.monkeysaudio.com/" TargetMode="External"/><Relationship Id="rId75" Type="http://schemas.openxmlformats.org/officeDocument/2006/relationships/hyperlink" Target="http://cuetools.net/wiki/CUETools_Download" TargetMode="External"/><Relationship Id="rId91" Type="http://schemas.openxmlformats.org/officeDocument/2006/relationships/hyperlink" Target="http://www.gzip.org/" TargetMode="External"/><Relationship Id="rId96" Type="http://schemas.openxmlformats.org/officeDocument/2006/relationships/hyperlink" Target="http://heartofcomp.altervista.org/" TargetMode="External"/><Relationship Id="rId1" Type="http://schemas.openxmlformats.org/officeDocument/2006/relationships/hyperlink" Target="http://ftp.sac.sk/sac/pack/snrc21i.zip" TargetMode="External"/><Relationship Id="rId6" Type="http://schemas.openxmlformats.org/officeDocument/2006/relationships/hyperlink" Target="http://www.winace.com/" TargetMode="External"/><Relationship Id="rId23" Type="http://schemas.openxmlformats.org/officeDocument/2006/relationships/hyperlink" Target="http://www.wavpack.com/" TargetMode="External"/><Relationship Id="rId28" Type="http://schemas.openxmlformats.org/officeDocument/2006/relationships/hyperlink" Target="https://sites.google.com/site/sbcarchiver/" TargetMode="External"/><Relationship Id="rId49" Type="http://schemas.openxmlformats.org/officeDocument/2006/relationships/hyperlink" Target="http://soundcloud.com/user1261136/have-you-seen-the-lizards" TargetMode="External"/><Relationship Id="rId114" Type="http://schemas.openxmlformats.org/officeDocument/2006/relationships/hyperlink" Target="http://www.7-zip.org/" TargetMode="External"/><Relationship Id="rId119" Type="http://schemas.openxmlformats.org/officeDocument/2006/relationships/vmlDrawing" Target="../drawings/vmlDrawing2.vml"/><Relationship Id="rId44" Type="http://schemas.openxmlformats.org/officeDocument/2006/relationships/hyperlink" Target="http://audacity.sourceforge.net/" TargetMode="External"/><Relationship Id="rId60" Type="http://schemas.openxmlformats.org/officeDocument/2006/relationships/hyperlink" Target="http://www.steinberg.net/de/products/wavelab/daten_downloads.html" TargetMode="External"/><Relationship Id="rId65" Type="http://schemas.openxmlformats.org/officeDocument/2006/relationships/hyperlink" Target="http://www.losslessaudio.org/" TargetMode="External"/><Relationship Id="rId81" Type="http://schemas.openxmlformats.org/officeDocument/2006/relationships/hyperlink" Target="http://www.nue.tu-berlin.de/menue/forschung/projekte/beendete_projekte/mpeg-4_audio_lossless_coding_als/parameter/en/" TargetMode="External"/><Relationship Id="rId86" Type="http://schemas.openxmlformats.org/officeDocument/2006/relationships/hyperlink" Target="http://freearc.org/" TargetMode="External"/><Relationship Id="rId4" Type="http://schemas.openxmlformats.org/officeDocument/2006/relationships/hyperlink" Target="http://onda.sourceforge.net/" TargetMode="External"/><Relationship Id="rId9" Type="http://schemas.openxmlformats.org/officeDocument/2006/relationships/hyperlink" Target="http://ftp.sac.sk/sac/pack/uharc06b.zip" TargetMode="External"/><Relationship Id="rId13" Type="http://schemas.openxmlformats.org/officeDocument/2006/relationships/hyperlink" Target="http://www.lossless-audio.com/" TargetMode="External"/><Relationship Id="rId18" Type="http://schemas.openxmlformats.org/officeDocument/2006/relationships/hyperlink" Target="http://www.losslessaudio.org/" TargetMode="External"/><Relationship Id="rId39" Type="http://schemas.openxmlformats.org/officeDocument/2006/relationships/hyperlink" Target="http://encode.ru/threads/1137-Sac-%28State-of-the-Art%29-Lossless-Audio-Compression?highlight=sac" TargetMode="External"/><Relationship Id="rId109" Type="http://schemas.openxmlformats.org/officeDocument/2006/relationships/hyperlink" Target="ftp://ftp.sac.sk/pub/sac/pack/winrk312.exe" TargetMode="External"/><Relationship Id="rId34" Type="http://schemas.openxmlformats.org/officeDocument/2006/relationships/hyperlink" Target="http://www.winzip.com/" TargetMode="External"/><Relationship Id="rId50" Type="http://schemas.openxmlformats.org/officeDocument/2006/relationships/hyperlink" Target="http://soundcloud.com/cyan-music/new-age-hippies-metamorphosia" TargetMode="External"/><Relationship Id="rId55" Type="http://schemas.openxmlformats.org/officeDocument/2006/relationships/hyperlink" Target="http://www.rarlabs.com/" TargetMode="External"/><Relationship Id="rId76" Type="http://schemas.openxmlformats.org/officeDocument/2006/relationships/hyperlink" Target="http://www.real.com/" TargetMode="External"/><Relationship Id="rId97" Type="http://schemas.openxmlformats.org/officeDocument/2006/relationships/hyperlink" Target="http://soundcloud.com/mrdodi/pendulum-the-island-pt-1-dawn" TargetMode="External"/><Relationship Id="rId104" Type="http://schemas.openxmlformats.org/officeDocument/2006/relationships/hyperlink" Target="http://www.sonycreativesoftware.com/download/trials/soundforge" TargetMode="External"/><Relationship Id="rId120" Type="http://schemas.openxmlformats.org/officeDocument/2006/relationships/image" Target="../media/image5.png"/><Relationship Id="rId7" Type="http://schemas.openxmlformats.org/officeDocument/2006/relationships/hyperlink" Target="http://ftp.sac.sk/sac/pack/short360.zip" TargetMode="External"/><Relationship Id="rId71" Type="http://schemas.openxmlformats.org/officeDocument/2006/relationships/hyperlink" Target="http://www.krishnasoft.com/sps.htm" TargetMode="External"/><Relationship Id="rId92" Type="http://schemas.openxmlformats.org/officeDocument/2006/relationships/hyperlink" Target="http://www.bzip.org/" TargetMode="External"/><Relationship Id="rId2" Type="http://schemas.openxmlformats.org/officeDocument/2006/relationships/hyperlink" Target="http://www.7-zip.org/" TargetMode="External"/><Relationship Id="rId29" Type="http://schemas.openxmlformats.org/officeDocument/2006/relationships/hyperlink" Target="http://sourceforge.net/projects/tta/" TargetMode="External"/><Relationship Id="rId24" Type="http://schemas.openxmlformats.org/officeDocument/2006/relationships/hyperlink" Target="http://www.apple.com/itunes/?cid=OAS-US-DOMAINS-itunes.com" TargetMode="External"/><Relationship Id="rId40" Type="http://schemas.openxmlformats.org/officeDocument/2006/relationships/hyperlink" Target="http://heartofcomp.altervista.org/zcm.zip" TargetMode="External"/><Relationship Id="rId45" Type="http://schemas.openxmlformats.org/officeDocument/2006/relationships/hyperlink" Target="http://www.krishnasoft.com/sps.htm" TargetMode="External"/><Relationship Id="rId66" Type="http://schemas.openxmlformats.org/officeDocument/2006/relationships/hyperlink" Target="http://www.losslessaudio.org/" TargetMode="External"/><Relationship Id="rId87" Type="http://schemas.openxmlformats.org/officeDocument/2006/relationships/hyperlink" Target="http://www.nanozip.net/" TargetMode="External"/><Relationship Id="rId110" Type="http://schemas.openxmlformats.org/officeDocument/2006/relationships/hyperlink" Target="ftp://ftp.sac.sk/pub/sac/pack/rkau107.zip" TargetMode="External"/><Relationship Id="rId115" Type="http://schemas.openxmlformats.org/officeDocument/2006/relationships/hyperlink" Target="http://heartofcomp.altervista.org/zcm.zip" TargetMode="External"/><Relationship Id="rId61" Type="http://schemas.openxmlformats.org/officeDocument/2006/relationships/hyperlink" Target="http://www.freac.org/index.php/de/downloads-mainmenu-33" TargetMode="External"/><Relationship Id="rId82" Type="http://schemas.openxmlformats.org/officeDocument/2006/relationships/hyperlink" Target="http://www.multitrackstudio.com/download.php" TargetMode="External"/><Relationship Id="rId19" Type="http://schemas.openxmlformats.org/officeDocument/2006/relationships/hyperlink" Target="http://www.stuffit.com/" TargetMode="External"/><Relationship Id="rId14" Type="http://schemas.openxmlformats.org/officeDocument/2006/relationships/hyperlink" Target="http://www.losslessaudio.org/" TargetMode="External"/><Relationship Id="rId30" Type="http://schemas.openxmlformats.org/officeDocument/2006/relationships/hyperlink" Target="http://www.nue.tu-berlin.de/menue/forschung/projekte/beendete_projekte/mpeg-4_audio_lossless_coding_als/parameter/en/" TargetMode="External"/><Relationship Id="rId35" Type="http://schemas.openxmlformats.org/officeDocument/2006/relationships/hyperlink" Target="http://www.wavpack.com/" TargetMode="External"/><Relationship Id="rId56" Type="http://schemas.openxmlformats.org/officeDocument/2006/relationships/hyperlink" Target="http://www.winace.com/" TargetMode="External"/><Relationship Id="rId77" Type="http://schemas.openxmlformats.org/officeDocument/2006/relationships/hyperlink" Target="http://sourceforge.net/projects/flac/?source=directory" TargetMode="External"/><Relationship Id="rId100" Type="http://schemas.openxmlformats.org/officeDocument/2006/relationships/hyperlink" Target="http://www.sonycreativesoftware.com/download/trials/soundforge" TargetMode="External"/><Relationship Id="rId105" Type="http://schemas.openxmlformats.org/officeDocument/2006/relationships/hyperlink" Target="http://www.lossless-audio.com/" TargetMode="External"/><Relationship Id="rId8" Type="http://schemas.openxmlformats.org/officeDocument/2006/relationships/hyperlink" Target="http://www.emit.jp/dgca/dgca_e.html" TargetMode="External"/><Relationship Id="rId51" Type="http://schemas.openxmlformats.org/officeDocument/2006/relationships/hyperlink" Target="http://soundcloud.com/brunette-models/brunette-models-atlantis-24-96" TargetMode="External"/><Relationship Id="rId72" Type="http://schemas.openxmlformats.org/officeDocument/2006/relationships/hyperlink" Target="http://ftp.sac.sk/sac/pack/lpacarch.zip" TargetMode="External"/><Relationship Id="rId93" Type="http://schemas.openxmlformats.org/officeDocument/2006/relationships/hyperlink" Target="http://www.sonycreativesoftware.com/download/trials/soundforge" TargetMode="External"/><Relationship Id="rId98" Type="http://schemas.openxmlformats.org/officeDocument/2006/relationships/hyperlink" Target="http://soundcloud.com/tony-mccoy/electric-summer" TargetMode="External"/><Relationship Id="rId121" Type="http://schemas.openxmlformats.org/officeDocument/2006/relationships/comments" Target="../comments2.xml"/><Relationship Id="rId3" Type="http://schemas.openxmlformats.org/officeDocument/2006/relationships/hyperlink" Target="http://ftp.sac.sk/sac/pack/vocpak10.zip" TargetMode="External"/><Relationship Id="rId25" Type="http://schemas.openxmlformats.org/officeDocument/2006/relationships/hyperlink" Target="http://cuetools.net/wiki/CUETools_Download" TargetMode="External"/><Relationship Id="rId46" Type="http://schemas.openxmlformats.org/officeDocument/2006/relationships/hyperlink" Target="http://heartofcomp.altervista.org/" TargetMode="External"/><Relationship Id="rId67" Type="http://schemas.openxmlformats.org/officeDocument/2006/relationships/hyperlink" Target="http://www.losslessaudio.org/" TargetMode="External"/><Relationship Id="rId116" Type="http://schemas.openxmlformats.org/officeDocument/2006/relationships/hyperlink" Target="http://heartofcomp.altervista.org/zcm.zip" TargetMode="External"/><Relationship Id="rId20" Type="http://schemas.openxmlformats.org/officeDocument/2006/relationships/hyperlink" Target="http://www.monkeysaudio.com/" TargetMode="External"/><Relationship Id="rId41" Type="http://schemas.openxmlformats.org/officeDocument/2006/relationships/hyperlink" Target="http://www.gzip.org/" TargetMode="External"/><Relationship Id="rId62" Type="http://schemas.openxmlformats.org/officeDocument/2006/relationships/hyperlink" Target="http://www.lossless-audio.com/" TargetMode="External"/><Relationship Id="rId83" Type="http://schemas.openxmlformats.org/officeDocument/2006/relationships/hyperlink" Target="http://www.all4mp3.com/tools/mp3HD-tools.php" TargetMode="External"/><Relationship Id="rId88" Type="http://schemas.openxmlformats.org/officeDocument/2006/relationships/hyperlink" Target="http://www.thbeck.de/Tak/Tak.html" TargetMode="External"/><Relationship Id="rId111" Type="http://schemas.openxmlformats.org/officeDocument/2006/relationships/hyperlink" Target="ftp://ftp.sac.sk/pub/sac/pack/rkau107.zip" TargetMode="External"/><Relationship Id="rId15" Type="http://schemas.openxmlformats.org/officeDocument/2006/relationships/hyperlink" Target="http://www.losslessaudio.org/" TargetMode="External"/><Relationship Id="rId36" Type="http://schemas.openxmlformats.org/officeDocument/2006/relationships/hyperlink" Target="http://freearc.org/" TargetMode="External"/><Relationship Id="rId57" Type="http://schemas.openxmlformats.org/officeDocument/2006/relationships/hyperlink" Target="http://ftp.sac.sk/sac/pack/short360.zip" TargetMode="External"/><Relationship Id="rId106" Type="http://schemas.openxmlformats.org/officeDocument/2006/relationships/hyperlink" Target="http://www.lossless-audio.com/" TargetMode="External"/><Relationship Id="rId10" Type="http://schemas.openxmlformats.org/officeDocument/2006/relationships/hyperlink" Target="http://www.steinberg.net/de/products/wavelab/daten_downloads.html" TargetMode="External"/><Relationship Id="rId31" Type="http://schemas.openxmlformats.org/officeDocument/2006/relationships/hyperlink" Target="http://www.nue.tu-berlin.de/menue/forschung/projekte/beendete_projekte/mpeg-4_audio_lossless_coding_als/parameter/en/" TargetMode="External"/><Relationship Id="rId52" Type="http://schemas.openxmlformats.org/officeDocument/2006/relationships/hyperlink" Target="http://ftp.sac.sk/sac/pack/snrc21i.zip" TargetMode="External"/><Relationship Id="rId73" Type="http://schemas.openxmlformats.org/officeDocument/2006/relationships/hyperlink" Target="http://www.wavpack.com/" TargetMode="External"/><Relationship Id="rId78" Type="http://schemas.openxmlformats.org/officeDocument/2006/relationships/hyperlink" Target="https://sites.google.com/site/sbcarchiver/" TargetMode="External"/><Relationship Id="rId94" Type="http://schemas.openxmlformats.org/officeDocument/2006/relationships/hyperlink" Target="http://audacity.sourceforge.net/" TargetMode="External"/><Relationship Id="rId99" Type="http://schemas.openxmlformats.org/officeDocument/2006/relationships/hyperlink" Target="http://soundcloud.com/david-dupplaw/openimaj-and-imageterrier" TargetMode="External"/><Relationship Id="rId101" Type="http://schemas.openxmlformats.org/officeDocument/2006/relationships/hyperlink" Target="http://www.speedproject.de/enu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compression.ru/ds/bmf_2_01.rar" TargetMode="External"/><Relationship Id="rId21" Type="http://schemas.openxmlformats.org/officeDocument/2006/relationships/hyperlink" Target="http://www.winace.com/" TargetMode="External"/><Relationship Id="rId42" Type="http://schemas.openxmlformats.org/officeDocument/2006/relationships/hyperlink" Target="http://www.xnview.com/" TargetMode="External"/><Relationship Id="rId63" Type="http://schemas.openxmlformats.org/officeDocument/2006/relationships/hyperlink" Target="http://heartofcomp.altervista.org/" TargetMode="External"/><Relationship Id="rId84" Type="http://schemas.openxmlformats.org/officeDocument/2006/relationships/hyperlink" Target="https://developers.google.com/speed/webp/download" TargetMode="External"/><Relationship Id="rId138" Type="http://schemas.openxmlformats.org/officeDocument/2006/relationships/hyperlink" Target="http://optipng.sourceforge.net/" TargetMode="External"/><Relationship Id="rId159" Type="http://schemas.openxmlformats.org/officeDocument/2006/relationships/hyperlink" Target="http://www.xnview.com/" TargetMode="External"/><Relationship Id="rId170" Type="http://schemas.openxmlformats.org/officeDocument/2006/relationships/hyperlink" Target="http://encode.narod.ru/bim001.zip" TargetMode="External"/><Relationship Id="rId107" Type="http://schemas.openxmlformats.org/officeDocument/2006/relationships/hyperlink" Target="http://phil.cdc.gov/PHIL_Images/7318/7318.tif" TargetMode="External"/><Relationship Id="rId11" Type="http://schemas.openxmlformats.org/officeDocument/2006/relationships/hyperlink" Target="http://hubblesite.org/gallery/album/star/pr2005030a/warn/npp/all/" TargetMode="External"/><Relationship Id="rId32" Type="http://schemas.openxmlformats.org/officeDocument/2006/relationships/hyperlink" Target="ftp://ftp.sac.sk/pub/sac/pack/uhic20.zip" TargetMode="External"/><Relationship Id="rId53" Type="http://schemas.openxmlformats.org/officeDocument/2006/relationships/hyperlink" Target="http://imagezero.maxiom.de/" TargetMode="External"/><Relationship Id="rId74" Type="http://schemas.openxmlformats.org/officeDocument/2006/relationships/hyperlink" Target="http://compression.ru/ds/bmf_2_01.rar" TargetMode="External"/><Relationship Id="rId128" Type="http://schemas.openxmlformats.org/officeDocument/2006/relationships/hyperlink" Target="http://sourceforge.net/projects/pyramidworkshop/" TargetMode="External"/><Relationship Id="rId149" Type="http://schemas.openxmlformats.org/officeDocument/2006/relationships/hyperlink" Target="http://www.getpaint.net/" TargetMode="External"/><Relationship Id="rId5" Type="http://schemas.openxmlformats.org/officeDocument/2006/relationships/hyperlink" Target="http://www.squeezechart.com/" TargetMode="External"/><Relationship Id="rId95" Type="http://schemas.openxmlformats.org/officeDocument/2006/relationships/hyperlink" Target="http://www.intuac.com/userport/john/btpc5/index.html" TargetMode="External"/><Relationship Id="rId160" Type="http://schemas.openxmlformats.org/officeDocument/2006/relationships/hyperlink" Target="http://www.xnview.com/" TargetMode="External"/><Relationship Id="rId22" Type="http://schemas.openxmlformats.org/officeDocument/2006/relationships/hyperlink" Target="http://heartofcomp.altervista.org/zcm.zip" TargetMode="External"/><Relationship Id="rId43" Type="http://schemas.openxmlformats.org/officeDocument/2006/relationships/hyperlink" Target="http://www.xnview.com/" TargetMode="External"/><Relationship Id="rId64" Type="http://schemas.openxmlformats.org/officeDocument/2006/relationships/hyperlink" Target="http://www.rawzor.com/" TargetMode="External"/><Relationship Id="rId118" Type="http://schemas.openxmlformats.org/officeDocument/2006/relationships/hyperlink" Target="http://www.xnview.com/" TargetMode="External"/><Relationship Id="rId139" Type="http://schemas.openxmlformats.org/officeDocument/2006/relationships/hyperlink" Target="http://www.xnview.com/" TargetMode="External"/><Relationship Id="rId85" Type="http://schemas.openxmlformats.org/officeDocument/2006/relationships/hyperlink" Target="http://www.researchandtechnology.net/bcif/index.php" TargetMode="External"/><Relationship Id="rId150" Type="http://schemas.openxmlformats.org/officeDocument/2006/relationships/hyperlink" Target="http://www.getpaint.net/" TargetMode="External"/><Relationship Id="rId171" Type="http://schemas.openxmlformats.org/officeDocument/2006/relationships/printerSettings" Target="../printerSettings/printerSettings5.bin"/><Relationship Id="rId12" Type="http://schemas.openxmlformats.org/officeDocument/2006/relationships/hyperlink" Target="mailto:copyright@stsci.edu" TargetMode="External"/><Relationship Id="rId33" Type="http://schemas.openxmlformats.org/officeDocument/2006/relationships/hyperlink" Target="https://developers.google.com/speed/webp/download" TargetMode="External"/><Relationship Id="rId108" Type="http://schemas.openxmlformats.org/officeDocument/2006/relationships/hyperlink" Target="http://itohws03.ee.noda.sut.ac.jp/~matsuda/mrp/" TargetMode="External"/><Relationship Id="rId129" Type="http://schemas.openxmlformats.org/officeDocument/2006/relationships/hyperlink" Target="http://sourceforge.net/projects/wic/?source=directory" TargetMode="External"/><Relationship Id="rId54" Type="http://schemas.openxmlformats.org/officeDocument/2006/relationships/hyperlink" Target="http://charls.codeplex.com/" TargetMode="External"/><Relationship Id="rId70" Type="http://schemas.openxmlformats.org/officeDocument/2006/relationships/hyperlink" Target="http://www.mattmahoney.net/dc/text.html" TargetMode="External"/><Relationship Id="rId75" Type="http://schemas.openxmlformats.org/officeDocument/2006/relationships/hyperlink" Target="http://www.imagecompression.info/gralic/flic21d.zip" TargetMode="External"/><Relationship Id="rId91" Type="http://schemas.openxmlformats.org/officeDocument/2006/relationships/hyperlink" Target="http://free.zoner.com/" TargetMode="External"/><Relationship Id="rId96" Type="http://schemas.openxmlformats.org/officeDocument/2006/relationships/hyperlink" Target="http://imagezero.maxiom.de/" TargetMode="External"/><Relationship Id="rId140" Type="http://schemas.openxmlformats.org/officeDocument/2006/relationships/hyperlink" Target="http://www.xnview.com/" TargetMode="External"/><Relationship Id="rId145" Type="http://schemas.openxmlformats.org/officeDocument/2006/relationships/hyperlink" Target="http://www.squeezechart.com/catheter8.rar" TargetMode="External"/><Relationship Id="rId161" Type="http://schemas.openxmlformats.org/officeDocument/2006/relationships/hyperlink" Target="http://www.xnview.com/" TargetMode="External"/><Relationship Id="rId166" Type="http://schemas.openxmlformats.org/officeDocument/2006/relationships/hyperlink" Target="http://www.studioline.net/" TargetMode="External"/><Relationship Id="rId1" Type="http://schemas.openxmlformats.org/officeDocument/2006/relationships/hyperlink" Target="http://img.photographyblog.com/reviews/canon_eos_7d/sample_images/canon_eos_7d_05.cr2" TargetMode="External"/><Relationship Id="rId6" Type="http://schemas.openxmlformats.org/officeDocument/2006/relationships/hyperlink" Target="mailto:mark@photographyblog.com" TargetMode="External"/><Relationship Id="rId23" Type="http://schemas.openxmlformats.org/officeDocument/2006/relationships/hyperlink" Target="http://www.rarlabs.com/" TargetMode="External"/><Relationship Id="rId28" Type="http://schemas.openxmlformats.org/officeDocument/2006/relationships/hyperlink" Target="http://www.elektronik.htw-aalen.de/packjpg/" TargetMode="External"/><Relationship Id="rId49" Type="http://schemas.openxmlformats.org/officeDocument/2006/relationships/hyperlink" Target="http://www.softpedia.com/dyn-postdownload.php?p=131267&amp;t=0&amp;i=1" TargetMode="External"/><Relationship Id="rId114" Type="http://schemas.openxmlformats.org/officeDocument/2006/relationships/hyperlink" Target="http://www.barre.nom.fr/medical/samples/files/MR-MONO2-12-shoulder.gz" TargetMode="External"/><Relationship Id="rId119" Type="http://schemas.openxmlformats.org/officeDocument/2006/relationships/hyperlink" Target="http://optipng.sourceforge.net/" TargetMode="External"/><Relationship Id="rId44" Type="http://schemas.openxmlformats.org/officeDocument/2006/relationships/hyperlink" Target="http://www.xnview.com/" TargetMode="External"/><Relationship Id="rId60" Type="http://schemas.openxmlformats.org/officeDocument/2006/relationships/hyperlink" Target="http://www.gzip.org/" TargetMode="External"/><Relationship Id="rId65" Type="http://schemas.openxmlformats.org/officeDocument/2006/relationships/hyperlink" Target="http://www.stuffit.com/" TargetMode="External"/><Relationship Id="rId81" Type="http://schemas.openxmlformats.org/officeDocument/2006/relationships/hyperlink" Target="ftp://ftp.sac.sk/pub/sac/pack/uhic20.zip" TargetMode="External"/><Relationship Id="rId86" Type="http://schemas.openxmlformats.org/officeDocument/2006/relationships/hyperlink" Target="http://www.hpl.hp.com/loco/" TargetMode="External"/><Relationship Id="rId130" Type="http://schemas.openxmlformats.org/officeDocument/2006/relationships/hyperlink" Target="http://www.xeraina.ch/download/win/pgfconsole.msi" TargetMode="External"/><Relationship Id="rId135" Type="http://schemas.openxmlformats.org/officeDocument/2006/relationships/hyperlink" Target="http://www.imagecompression.info/gralic/LPCB.html" TargetMode="External"/><Relationship Id="rId151" Type="http://schemas.openxmlformats.org/officeDocument/2006/relationships/hyperlink" Target="http://www.gimp.org/downloads/" TargetMode="External"/><Relationship Id="rId156" Type="http://schemas.openxmlformats.org/officeDocument/2006/relationships/hyperlink" Target="http://www.xnview.com/" TargetMode="External"/><Relationship Id="rId172" Type="http://schemas.openxmlformats.org/officeDocument/2006/relationships/image" Target="../media/image7.png"/><Relationship Id="rId13" Type="http://schemas.openxmlformats.org/officeDocument/2006/relationships/hyperlink" Target="http://www.rawzor.com/" TargetMode="External"/><Relationship Id="rId18" Type="http://schemas.openxmlformats.org/officeDocument/2006/relationships/hyperlink" Target="http://www.speedproject.de/enu/" TargetMode="External"/><Relationship Id="rId39" Type="http://schemas.openxmlformats.org/officeDocument/2006/relationships/hyperlink" Target="http://www.xnview.com/" TargetMode="External"/><Relationship Id="rId109" Type="http://schemas.openxmlformats.org/officeDocument/2006/relationships/hyperlink" Target="ftp://ftp.csd.uwo.ca/pub/from_wu/v.arith/" TargetMode="External"/><Relationship Id="rId34" Type="http://schemas.openxmlformats.org/officeDocument/2006/relationships/hyperlink" Target="https://developers.google.com/speed/webp/download" TargetMode="External"/><Relationship Id="rId50" Type="http://schemas.openxmlformats.org/officeDocument/2006/relationships/hyperlink" Target="http://www.intuac.com/userport/john/apt/" TargetMode="External"/><Relationship Id="rId55" Type="http://schemas.openxmlformats.org/officeDocument/2006/relationships/hyperlink" Target="https://github.com/thorfdbg/libjpeg" TargetMode="External"/><Relationship Id="rId76" Type="http://schemas.openxmlformats.org/officeDocument/2006/relationships/hyperlink" Target="http://www.imagecompression.info/gralic/Gralic111d.zip" TargetMode="External"/><Relationship Id="rId97" Type="http://schemas.openxmlformats.org/officeDocument/2006/relationships/hyperlink" Target="http://charls.codeplex.com/" TargetMode="External"/><Relationship Id="rId104" Type="http://schemas.openxmlformats.org/officeDocument/2006/relationships/hyperlink" Target="http://www.emit.jp/dgca/dgca_e.html" TargetMode="External"/><Relationship Id="rId120" Type="http://schemas.openxmlformats.org/officeDocument/2006/relationships/hyperlink" Target="http://www.xnview.com/" TargetMode="External"/><Relationship Id="rId125" Type="http://schemas.openxmlformats.org/officeDocument/2006/relationships/hyperlink" Target="ftp://ftp.sac.sk/pub/sac/pack/arh140.zip" TargetMode="External"/><Relationship Id="rId141" Type="http://schemas.openxmlformats.org/officeDocument/2006/relationships/hyperlink" Target="http://cdb.paradice-insight.us/?stats=cmpr" TargetMode="External"/><Relationship Id="rId146" Type="http://schemas.openxmlformats.org/officeDocument/2006/relationships/hyperlink" Target="http://www.squeezechart.com/sigma8.rar" TargetMode="External"/><Relationship Id="rId167" Type="http://schemas.openxmlformats.org/officeDocument/2006/relationships/hyperlink" Target="http://encode.narod.ru/bim001.zip" TargetMode="External"/><Relationship Id="rId7" Type="http://schemas.openxmlformats.org/officeDocument/2006/relationships/hyperlink" Target="mailto:mark@photographyblog.com" TargetMode="External"/><Relationship Id="rId71" Type="http://schemas.openxmlformats.org/officeDocument/2006/relationships/hyperlink" Target="http://ftp.sac.sk/sac/pack/uharc06b.zip" TargetMode="External"/><Relationship Id="rId92" Type="http://schemas.openxmlformats.org/officeDocument/2006/relationships/hyperlink" Target="http://www.softpedia.com/dyn-postdownload.php?p=131267&amp;t=0&amp;i=1" TargetMode="External"/><Relationship Id="rId162" Type="http://schemas.openxmlformats.org/officeDocument/2006/relationships/hyperlink" Target="http://www.xnview.com/" TargetMode="External"/><Relationship Id="rId2" Type="http://schemas.openxmlformats.org/officeDocument/2006/relationships/hyperlink" Target="http://www.squeezechart.com/sigma24.rar" TargetMode="External"/><Relationship Id="rId29" Type="http://schemas.openxmlformats.org/officeDocument/2006/relationships/hyperlink" Target="ftp://ftp.sac.sk/pub/sac/pack/rkim106.zip" TargetMode="External"/><Relationship Id="rId24" Type="http://schemas.openxmlformats.org/officeDocument/2006/relationships/hyperlink" Target="http://www.imagecompression.info/gralic/flic21d.zip" TargetMode="External"/><Relationship Id="rId40" Type="http://schemas.openxmlformats.org/officeDocument/2006/relationships/hyperlink" Target="http://www.xnview.com/" TargetMode="External"/><Relationship Id="rId45" Type="http://schemas.openxmlformats.org/officeDocument/2006/relationships/hyperlink" Target="ftp://ftp.sac.sk/pub/sac/pack/compress.zip" TargetMode="External"/><Relationship Id="rId66" Type="http://schemas.openxmlformats.org/officeDocument/2006/relationships/hyperlink" Target="http://www.nanozip.net/" TargetMode="External"/><Relationship Id="rId87" Type="http://schemas.openxmlformats.org/officeDocument/2006/relationships/hyperlink" Target="http://replay.waybackmachine.org/20030126170744/http:/www.cipr.rpi.edu/research/SPIHT/EW_Code/lsp.exe" TargetMode="External"/><Relationship Id="rId110" Type="http://schemas.openxmlformats.org/officeDocument/2006/relationships/hyperlink" Target="http://www.caravian.com/research/packages/pwc.zip" TargetMode="External"/><Relationship Id="rId115" Type="http://schemas.openxmlformats.org/officeDocument/2006/relationships/hyperlink" Target="http://upload.wikimedia.org/wikipedia/commons/4/4e/Scan17semanas2.png" TargetMode="External"/><Relationship Id="rId131" Type="http://schemas.openxmlformats.org/officeDocument/2006/relationships/hyperlink" Target="http://www.cs.mu.oz.au/mg/mg-1.2.1.tar.gz" TargetMode="External"/><Relationship Id="rId136" Type="http://schemas.openxmlformats.org/officeDocument/2006/relationships/hyperlink" Target="http://www.kakadusoftware.com/" TargetMode="External"/><Relationship Id="rId157" Type="http://schemas.openxmlformats.org/officeDocument/2006/relationships/hyperlink" Target="http://www.xnview.com/" TargetMode="External"/><Relationship Id="rId61" Type="http://schemas.openxmlformats.org/officeDocument/2006/relationships/hyperlink" Target="http://www.emit.jp/dgca/dgca_e.html" TargetMode="External"/><Relationship Id="rId82" Type="http://schemas.openxmlformats.org/officeDocument/2006/relationships/hyperlink" Target="ftp://ftp.sac.sk/pub/sac/pack/uhic20.zip" TargetMode="External"/><Relationship Id="rId152" Type="http://schemas.openxmlformats.org/officeDocument/2006/relationships/hyperlink" Target="http://www.corel.com/" TargetMode="External"/><Relationship Id="rId19" Type="http://schemas.openxmlformats.org/officeDocument/2006/relationships/hyperlink" Target="http://www.mattmahoney.net/dc/text.html" TargetMode="External"/><Relationship Id="rId14" Type="http://schemas.openxmlformats.org/officeDocument/2006/relationships/hyperlink" Target="http://www.stuffit.com/" TargetMode="External"/><Relationship Id="rId30" Type="http://schemas.openxmlformats.org/officeDocument/2006/relationships/hyperlink" Target="ftp://ftp.sac.sk/pub/sac/pack/rkim106.zip" TargetMode="External"/><Relationship Id="rId35" Type="http://schemas.openxmlformats.org/officeDocument/2006/relationships/hyperlink" Target="http://www.researchandtechnology.net/bcif/index.php" TargetMode="External"/><Relationship Id="rId56" Type="http://schemas.openxmlformats.org/officeDocument/2006/relationships/hyperlink" Target="http://bjoern.hoehrmann.de/pngwolf/" TargetMode="External"/><Relationship Id="rId77" Type="http://schemas.openxmlformats.org/officeDocument/2006/relationships/hyperlink" Target="http://mattmahoney.net/dc/text.html" TargetMode="External"/><Relationship Id="rId100" Type="http://schemas.openxmlformats.org/officeDocument/2006/relationships/hyperlink" Target="http://www.openexr.com/" TargetMode="External"/><Relationship Id="rId105" Type="http://schemas.openxmlformats.org/officeDocument/2006/relationships/hyperlink" Target="https://sites.google.com/site/sbcarchiver/" TargetMode="External"/><Relationship Id="rId126" Type="http://schemas.openxmlformats.org/officeDocument/2006/relationships/hyperlink" Target="ftp://ftp.sac.sk/pub/sac/pack/arh140.zip" TargetMode="External"/><Relationship Id="rId147" Type="http://schemas.openxmlformats.org/officeDocument/2006/relationships/hyperlink" Target="http://www.7-zip.org/" TargetMode="External"/><Relationship Id="rId168" Type="http://schemas.openxmlformats.org/officeDocument/2006/relationships/hyperlink" Target="http://www.imagecompression.info/gralic/qlic1d.zip" TargetMode="External"/><Relationship Id="rId8" Type="http://schemas.openxmlformats.org/officeDocument/2006/relationships/hyperlink" Target="http://img.photographyblog.com/reviews/fujifilm_finepix_x100/sample_images/fujifilm_finepix_x100_05.raf" TargetMode="External"/><Relationship Id="rId51" Type="http://schemas.openxmlformats.org/officeDocument/2006/relationships/hyperlink" Target="http://jpegclub.org/jcropsrc.zip" TargetMode="External"/><Relationship Id="rId72" Type="http://schemas.openxmlformats.org/officeDocument/2006/relationships/hyperlink" Target="http://www.winace.com/" TargetMode="External"/><Relationship Id="rId93" Type="http://schemas.openxmlformats.org/officeDocument/2006/relationships/hyperlink" Target="http://www.intuac.com/userport/john/apt/" TargetMode="External"/><Relationship Id="rId98" Type="http://schemas.openxmlformats.org/officeDocument/2006/relationships/hyperlink" Target="https://github.com/thorfdbg/libjpeg" TargetMode="External"/><Relationship Id="rId121" Type="http://schemas.openxmlformats.org/officeDocument/2006/relationships/hyperlink" Target="ftp://ftp.sac.sk/pub/sac/pack/compress.zip" TargetMode="External"/><Relationship Id="rId142" Type="http://schemas.openxmlformats.org/officeDocument/2006/relationships/hyperlink" Target="http://www.openjpeg.org/" TargetMode="External"/><Relationship Id="rId163" Type="http://schemas.openxmlformats.org/officeDocument/2006/relationships/hyperlink" Target="http://www.xnview.com/" TargetMode="External"/><Relationship Id="rId3" Type="http://schemas.openxmlformats.org/officeDocument/2006/relationships/hyperlink" Target="http://www.squeezechart.com/sony24.rar" TargetMode="External"/><Relationship Id="rId25" Type="http://schemas.openxmlformats.org/officeDocument/2006/relationships/hyperlink" Target="http://www.imagecompression.info/gralic/Gralic111d.zip" TargetMode="External"/><Relationship Id="rId46" Type="http://schemas.openxmlformats.org/officeDocument/2006/relationships/hyperlink" Target="ftp://ftp.sac.sk/pub/sac/pack/winrk312.exe" TargetMode="External"/><Relationship Id="rId67" Type="http://schemas.openxmlformats.org/officeDocument/2006/relationships/hyperlink" Target="http://freearc.org/" TargetMode="External"/><Relationship Id="rId116" Type="http://schemas.openxmlformats.org/officeDocument/2006/relationships/hyperlink" Target="http://www.xnview.com/" TargetMode="External"/><Relationship Id="rId137" Type="http://schemas.openxmlformats.org/officeDocument/2006/relationships/hyperlink" Target="http://www.kakadusoftware.com/" TargetMode="External"/><Relationship Id="rId158" Type="http://schemas.openxmlformats.org/officeDocument/2006/relationships/hyperlink" Target="http://www.photofiltre.com/" TargetMode="External"/><Relationship Id="rId20" Type="http://schemas.openxmlformats.org/officeDocument/2006/relationships/hyperlink" Target="http://ftp.sac.sk/sac/pack/uharc06b.zip" TargetMode="External"/><Relationship Id="rId41" Type="http://schemas.openxmlformats.org/officeDocument/2006/relationships/hyperlink" Target="http://www.xnview.com/" TargetMode="External"/><Relationship Id="rId62" Type="http://schemas.openxmlformats.org/officeDocument/2006/relationships/hyperlink" Target="https://sites.google.com/site/sbcarchiver/" TargetMode="External"/><Relationship Id="rId83" Type="http://schemas.openxmlformats.org/officeDocument/2006/relationships/hyperlink" Target="https://developers.google.com/speed/webp/download" TargetMode="External"/><Relationship Id="rId88" Type="http://schemas.openxmlformats.org/officeDocument/2006/relationships/hyperlink" Target="http://www.xnview.com/" TargetMode="External"/><Relationship Id="rId111" Type="http://schemas.openxmlformats.org/officeDocument/2006/relationships/hyperlink" Target="http://itohws03.ee.noda.sut.ac.jp/~matsuda/mrp/" TargetMode="External"/><Relationship Id="rId132" Type="http://schemas.openxmlformats.org/officeDocument/2006/relationships/hyperlink" Target="http://www.cs.mu.oz.au/mg/mg-1.2.1.tar.gz" TargetMode="External"/><Relationship Id="rId153" Type="http://schemas.openxmlformats.org/officeDocument/2006/relationships/hyperlink" Target="http://www.gimp.org/downloads/" TargetMode="External"/><Relationship Id="rId15" Type="http://schemas.openxmlformats.org/officeDocument/2006/relationships/hyperlink" Target="http://www.nanozip.net/" TargetMode="External"/><Relationship Id="rId36" Type="http://schemas.openxmlformats.org/officeDocument/2006/relationships/hyperlink" Target="http://www.hpl.hp.com/loco/" TargetMode="External"/><Relationship Id="rId57" Type="http://schemas.openxmlformats.org/officeDocument/2006/relationships/hyperlink" Target="http://www.adobe.com/go/dng_converter_win" TargetMode="External"/><Relationship Id="rId106" Type="http://schemas.openxmlformats.org/officeDocument/2006/relationships/hyperlink" Target="http://heartofcomp.altervista.org/" TargetMode="External"/><Relationship Id="rId127" Type="http://schemas.openxmlformats.org/officeDocument/2006/relationships/hyperlink" Target="http://sourceforge.net/projects/pyramidworkshop/" TargetMode="External"/><Relationship Id="rId10" Type="http://schemas.openxmlformats.org/officeDocument/2006/relationships/hyperlink" Target="mailto:mark@photographyblog.com" TargetMode="External"/><Relationship Id="rId31" Type="http://schemas.openxmlformats.org/officeDocument/2006/relationships/hyperlink" Target="ftp://ftp.sac.sk/pub/sac/pack/uhic20.zip" TargetMode="External"/><Relationship Id="rId52" Type="http://schemas.openxmlformats.org/officeDocument/2006/relationships/hyperlink" Target="http://www.intuac.com/userport/john/btpc5/index.html" TargetMode="External"/><Relationship Id="rId73" Type="http://schemas.openxmlformats.org/officeDocument/2006/relationships/hyperlink" Target="http://www.rarlabs.com/" TargetMode="External"/><Relationship Id="rId78" Type="http://schemas.openxmlformats.org/officeDocument/2006/relationships/hyperlink" Target="http://www.elektronik.htw-aalen.de/packjpg/" TargetMode="External"/><Relationship Id="rId94" Type="http://schemas.openxmlformats.org/officeDocument/2006/relationships/hyperlink" Target="http://jpegclub.org/jcropsrc.zip" TargetMode="External"/><Relationship Id="rId99" Type="http://schemas.openxmlformats.org/officeDocument/2006/relationships/hyperlink" Target="http://bjoern.hoehrmann.de/pngwolf/" TargetMode="External"/><Relationship Id="rId101" Type="http://schemas.openxmlformats.org/officeDocument/2006/relationships/hyperlink" Target="http://www.adobe.com/go/dng_converter_win" TargetMode="External"/><Relationship Id="rId122" Type="http://schemas.openxmlformats.org/officeDocument/2006/relationships/hyperlink" Target="http://www.openexr.com/" TargetMode="External"/><Relationship Id="rId143" Type="http://schemas.openxmlformats.org/officeDocument/2006/relationships/hyperlink" Target="http://www.openjpeg.org/" TargetMode="External"/><Relationship Id="rId148" Type="http://schemas.openxmlformats.org/officeDocument/2006/relationships/hyperlink" Target="http://www.7-zip.org/" TargetMode="External"/><Relationship Id="rId164" Type="http://schemas.openxmlformats.org/officeDocument/2006/relationships/hyperlink" Target="http://www.xnview.com/" TargetMode="External"/><Relationship Id="rId169" Type="http://schemas.openxmlformats.org/officeDocument/2006/relationships/hyperlink" Target="http://www.imagecompression.info/gralic/qlic1d.zip" TargetMode="External"/><Relationship Id="rId4" Type="http://schemas.openxmlformats.org/officeDocument/2006/relationships/hyperlink" Target="http://www.squeezechart.com/" TargetMode="External"/><Relationship Id="rId9" Type="http://schemas.openxmlformats.org/officeDocument/2006/relationships/hyperlink" Target="http://img.photographyblog.com/reviews/olympus_epl1/sample_images/olympus_epl1_11.orf" TargetMode="External"/><Relationship Id="rId26" Type="http://schemas.openxmlformats.org/officeDocument/2006/relationships/hyperlink" Target="http://www.xeraina.ch/download/win/pgfconsole.msi" TargetMode="External"/><Relationship Id="rId47" Type="http://schemas.openxmlformats.org/officeDocument/2006/relationships/hyperlink" Target="https://developers.google.com/speed/webp/download" TargetMode="External"/><Relationship Id="rId68" Type="http://schemas.openxmlformats.org/officeDocument/2006/relationships/hyperlink" Target="http://www.winzip.com/" TargetMode="External"/><Relationship Id="rId89" Type="http://schemas.openxmlformats.org/officeDocument/2006/relationships/hyperlink" Target="ftp://ftp.sac.sk/pub/sac/pack/compress.zip" TargetMode="External"/><Relationship Id="rId112" Type="http://schemas.openxmlformats.org/officeDocument/2006/relationships/hyperlink" Target="ftp://ftp.csd.uwo.ca/pub/from_wu/v.arith/" TargetMode="External"/><Relationship Id="rId133" Type="http://schemas.openxmlformats.org/officeDocument/2006/relationships/hyperlink" Target="http://free.zoner.com/" TargetMode="External"/><Relationship Id="rId154" Type="http://schemas.openxmlformats.org/officeDocument/2006/relationships/hyperlink" Target="http://www.corel.com/" TargetMode="External"/><Relationship Id="rId16" Type="http://schemas.openxmlformats.org/officeDocument/2006/relationships/hyperlink" Target="http://freearc.org/" TargetMode="External"/><Relationship Id="rId37" Type="http://schemas.openxmlformats.org/officeDocument/2006/relationships/hyperlink" Target="http://www.hpl.hp.com/loco/" TargetMode="External"/><Relationship Id="rId58" Type="http://schemas.openxmlformats.org/officeDocument/2006/relationships/hyperlink" Target="http://phil.cdc.gov/phil_images/20030116/17/PHIL_2942.tif" TargetMode="External"/><Relationship Id="rId79" Type="http://schemas.openxmlformats.org/officeDocument/2006/relationships/hyperlink" Target="ftp://ftp.sac.sk/pub/sac/pack/rkim106.zip" TargetMode="External"/><Relationship Id="rId102" Type="http://schemas.openxmlformats.org/officeDocument/2006/relationships/hyperlink" Target="http://www.bzip.org/" TargetMode="External"/><Relationship Id="rId123" Type="http://schemas.openxmlformats.org/officeDocument/2006/relationships/hyperlink" Target="ftp://ftp.sac.sk/pub/sac/pack/compress.zip" TargetMode="External"/><Relationship Id="rId144" Type="http://schemas.openxmlformats.org/officeDocument/2006/relationships/hyperlink" Target="http://heartofcomp.altervista.org/zcm.zip" TargetMode="External"/><Relationship Id="rId90" Type="http://schemas.openxmlformats.org/officeDocument/2006/relationships/hyperlink" Target="ftp://ftp.sac.sk/pub/sac/pack/winrk312.exe" TargetMode="External"/><Relationship Id="rId165" Type="http://schemas.openxmlformats.org/officeDocument/2006/relationships/hyperlink" Target="http://www.studioline.net/" TargetMode="External"/><Relationship Id="rId27" Type="http://schemas.openxmlformats.org/officeDocument/2006/relationships/hyperlink" Target="http://mattmahoney.net/dc/text.html" TargetMode="External"/><Relationship Id="rId48" Type="http://schemas.openxmlformats.org/officeDocument/2006/relationships/hyperlink" Target="http://free.zoner.com/" TargetMode="External"/><Relationship Id="rId69" Type="http://schemas.openxmlformats.org/officeDocument/2006/relationships/hyperlink" Target="http://www.speedproject.de/enu/" TargetMode="External"/><Relationship Id="rId113" Type="http://schemas.openxmlformats.org/officeDocument/2006/relationships/hyperlink" Target="http://www.caravian.com/research/packages/pwc.zip" TargetMode="External"/><Relationship Id="rId134" Type="http://schemas.openxmlformats.org/officeDocument/2006/relationships/hyperlink" Target="http://free.zoner.com/" TargetMode="External"/><Relationship Id="rId80" Type="http://schemas.openxmlformats.org/officeDocument/2006/relationships/hyperlink" Target="ftp://ftp.sac.sk/pub/sac/pack/rkim106.zip" TargetMode="External"/><Relationship Id="rId155" Type="http://schemas.openxmlformats.org/officeDocument/2006/relationships/hyperlink" Target="http://www.photofiltre.com/" TargetMode="External"/><Relationship Id="rId17" Type="http://schemas.openxmlformats.org/officeDocument/2006/relationships/hyperlink" Target="http://www.winzip.com/" TargetMode="External"/><Relationship Id="rId38" Type="http://schemas.openxmlformats.org/officeDocument/2006/relationships/hyperlink" Target="http://replay.waybackmachine.org/20030126170744/http:/www.cipr.rpi.edu/research/SPIHT/EW_Code/lsp.exe" TargetMode="External"/><Relationship Id="rId59" Type="http://schemas.openxmlformats.org/officeDocument/2006/relationships/hyperlink" Target="http://www.bzip.org/" TargetMode="External"/><Relationship Id="rId103" Type="http://schemas.openxmlformats.org/officeDocument/2006/relationships/hyperlink" Target="http://www.gzip.org/" TargetMode="External"/><Relationship Id="rId124" Type="http://schemas.openxmlformats.org/officeDocument/2006/relationships/hyperlink" Target="http://compression.ru/ds/bmf_2_01.rar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rarlabs.com/" TargetMode="External"/><Relationship Id="rId671" Type="http://schemas.openxmlformats.org/officeDocument/2006/relationships/hyperlink" Target="http://www.emit.jp/dgca/dgca_e.html" TargetMode="External"/><Relationship Id="rId21" Type="http://schemas.openxmlformats.org/officeDocument/2006/relationships/hyperlink" Target="http://wiki.xiph.org/Rehuff" TargetMode="External"/><Relationship Id="rId324" Type="http://schemas.openxmlformats.org/officeDocument/2006/relationships/hyperlink" Target="http://mattmahoney.net/dc/text.html" TargetMode="External"/><Relationship Id="rId531" Type="http://schemas.openxmlformats.org/officeDocument/2006/relationships/hyperlink" Target="http://www.rarlabs.com/" TargetMode="External"/><Relationship Id="rId629" Type="http://schemas.openxmlformats.org/officeDocument/2006/relationships/hyperlink" Target="http://freearc.org/" TargetMode="External"/><Relationship Id="rId170" Type="http://schemas.openxmlformats.org/officeDocument/2006/relationships/hyperlink" Target="http://www.7-zip.org/" TargetMode="External"/><Relationship Id="rId268" Type="http://schemas.openxmlformats.org/officeDocument/2006/relationships/hyperlink" Target="http://www.winace.com/" TargetMode="External"/><Relationship Id="rId475" Type="http://schemas.openxmlformats.org/officeDocument/2006/relationships/hyperlink" Target="http://schnaader.info/precomp.php" TargetMode="External"/><Relationship Id="rId682" Type="http://schemas.openxmlformats.org/officeDocument/2006/relationships/hyperlink" Target="http://libbsc.com/" TargetMode="External"/><Relationship Id="rId32" Type="http://schemas.openxmlformats.org/officeDocument/2006/relationships/hyperlink" Target="http://www.bzip.org/" TargetMode="External"/><Relationship Id="rId128" Type="http://schemas.openxmlformats.org/officeDocument/2006/relationships/hyperlink" Target="http://www.rarlabs.com/" TargetMode="External"/><Relationship Id="rId335" Type="http://schemas.openxmlformats.org/officeDocument/2006/relationships/hyperlink" Target="http://nishi.dreamhosters.com/u/reflate_v0c1.rar" TargetMode="External"/><Relationship Id="rId542" Type="http://schemas.openxmlformats.org/officeDocument/2006/relationships/hyperlink" Target="http://code.google.com/p/lzham/" TargetMode="External"/><Relationship Id="rId181" Type="http://schemas.openxmlformats.org/officeDocument/2006/relationships/hyperlink" Target="http://www.7-zip.org/" TargetMode="External"/><Relationship Id="rId402" Type="http://schemas.openxmlformats.org/officeDocument/2006/relationships/hyperlink" Target="http://www.compression.ru/ds/" TargetMode="External"/><Relationship Id="rId279" Type="http://schemas.openxmlformats.org/officeDocument/2006/relationships/hyperlink" Target="http://ftp.sac.sk/sac/pack/uharc06b.zip" TargetMode="External"/><Relationship Id="rId486" Type="http://schemas.openxmlformats.org/officeDocument/2006/relationships/hyperlink" Target="http://schnaader.info/precomp.php" TargetMode="External"/><Relationship Id="rId43" Type="http://schemas.openxmlformats.org/officeDocument/2006/relationships/hyperlink" Target="http://www.bzip.org/" TargetMode="External"/><Relationship Id="rId139" Type="http://schemas.openxmlformats.org/officeDocument/2006/relationships/hyperlink" Target="http://www.emit.jp/dgca/dgca_e.html" TargetMode="External"/><Relationship Id="rId346" Type="http://schemas.openxmlformats.org/officeDocument/2006/relationships/hyperlink" Target="http://nishi.dreamhosters.com/u/reflate_v0c1.rar" TargetMode="External"/><Relationship Id="rId553" Type="http://schemas.openxmlformats.org/officeDocument/2006/relationships/hyperlink" Target="http://openmpt.org/download" TargetMode="External"/><Relationship Id="rId192" Type="http://schemas.openxmlformats.org/officeDocument/2006/relationships/hyperlink" Target="http://www.nanozip.net/" TargetMode="External"/><Relationship Id="rId206" Type="http://schemas.openxmlformats.org/officeDocument/2006/relationships/hyperlink" Target="http://www.nanozip.net/" TargetMode="External"/><Relationship Id="rId413" Type="http://schemas.openxmlformats.org/officeDocument/2006/relationships/hyperlink" Target="http://code.google.com/p/lzham/" TargetMode="External"/><Relationship Id="rId497" Type="http://schemas.openxmlformats.org/officeDocument/2006/relationships/hyperlink" Target="http://www.winzip.com/" TargetMode="External"/><Relationship Id="rId620" Type="http://schemas.openxmlformats.org/officeDocument/2006/relationships/hyperlink" Target="http://www.winzip.com/" TargetMode="External"/><Relationship Id="rId357" Type="http://schemas.openxmlformats.org/officeDocument/2006/relationships/hyperlink" Target="http://nishi.dreamhosters.com/u/reflate_v0c1.rar" TargetMode="External"/><Relationship Id="rId54" Type="http://schemas.openxmlformats.org/officeDocument/2006/relationships/hyperlink" Target="http://www.winzip.com/" TargetMode="External"/><Relationship Id="rId217" Type="http://schemas.openxmlformats.org/officeDocument/2006/relationships/hyperlink" Target="http://www.nanozip.net/" TargetMode="External"/><Relationship Id="rId564" Type="http://schemas.openxmlformats.org/officeDocument/2006/relationships/hyperlink" Target="http://heartofcomp.altervista.org/zcm.zip" TargetMode="External"/><Relationship Id="rId424" Type="http://schemas.openxmlformats.org/officeDocument/2006/relationships/hyperlink" Target="http://code.google.com/p/lzham/" TargetMode="External"/><Relationship Id="rId631" Type="http://schemas.openxmlformats.org/officeDocument/2006/relationships/hyperlink" Target="http://ftp.sac.sk/sac/pack/uharc06b.zip" TargetMode="External"/><Relationship Id="rId270" Type="http://schemas.openxmlformats.org/officeDocument/2006/relationships/hyperlink" Target="http://www.winace.com/" TargetMode="External"/><Relationship Id="rId65" Type="http://schemas.openxmlformats.org/officeDocument/2006/relationships/hyperlink" Target="http://www.winzip.com/" TargetMode="External"/><Relationship Id="rId130" Type="http://schemas.openxmlformats.org/officeDocument/2006/relationships/hyperlink" Target="http://www.rarlabs.com/" TargetMode="External"/><Relationship Id="rId368" Type="http://schemas.openxmlformats.org/officeDocument/2006/relationships/hyperlink" Target="http://www.mattmahoney.net/dc/text.html" TargetMode="External"/><Relationship Id="rId575" Type="http://schemas.openxmlformats.org/officeDocument/2006/relationships/hyperlink" Target="http://www.compression.ru/ds/" TargetMode="External"/><Relationship Id="rId228" Type="http://schemas.openxmlformats.org/officeDocument/2006/relationships/hyperlink" Target="http://freearc.org/" TargetMode="External"/><Relationship Id="rId435" Type="http://schemas.openxmlformats.org/officeDocument/2006/relationships/hyperlink" Target="http://code.google.com/p/lzham/" TargetMode="External"/><Relationship Id="rId642" Type="http://schemas.openxmlformats.org/officeDocument/2006/relationships/hyperlink" Target="http://img.photographyblog.com/reviews/nikon_d3x/sample_images/nikon_d3x_08.nef" TargetMode="External"/><Relationship Id="rId281" Type="http://schemas.openxmlformats.org/officeDocument/2006/relationships/hyperlink" Target="http://ftp.sac.sk/sac/pack/uharc06b.zip" TargetMode="External"/><Relationship Id="rId502" Type="http://schemas.openxmlformats.org/officeDocument/2006/relationships/hyperlink" Target="http://www.nanozip.net/" TargetMode="External"/><Relationship Id="rId76" Type="http://schemas.openxmlformats.org/officeDocument/2006/relationships/hyperlink" Target="http://www.winzip.com/" TargetMode="External"/><Relationship Id="rId141" Type="http://schemas.openxmlformats.org/officeDocument/2006/relationships/hyperlink" Target="http://www.emit.jp/dgca/dgca_e.html" TargetMode="External"/><Relationship Id="rId379" Type="http://schemas.openxmlformats.org/officeDocument/2006/relationships/hyperlink" Target="http://www.mattmahoney.net/dc/text.html" TargetMode="External"/><Relationship Id="rId586" Type="http://schemas.openxmlformats.org/officeDocument/2006/relationships/hyperlink" Target="http://freearc.org/" TargetMode="External"/><Relationship Id="rId7" Type="http://schemas.openxmlformats.org/officeDocument/2006/relationships/hyperlink" Target="http://www.squeezechart.com/tech.mht" TargetMode="External"/><Relationship Id="rId239" Type="http://schemas.openxmlformats.org/officeDocument/2006/relationships/hyperlink" Target="http://freearc.org/" TargetMode="External"/><Relationship Id="rId446" Type="http://schemas.openxmlformats.org/officeDocument/2006/relationships/hyperlink" Target="http://libbsc.com/" TargetMode="External"/><Relationship Id="rId653" Type="http://schemas.openxmlformats.org/officeDocument/2006/relationships/hyperlink" Target="http://www.nanozip.net/" TargetMode="External"/><Relationship Id="rId292" Type="http://schemas.openxmlformats.org/officeDocument/2006/relationships/hyperlink" Target="http://ftp.sac.sk/sac/pack/uharc06b.zip" TargetMode="External"/><Relationship Id="rId306" Type="http://schemas.openxmlformats.org/officeDocument/2006/relationships/hyperlink" Target="http://mattmahoney.net/dc/text.html" TargetMode="External"/><Relationship Id="rId87" Type="http://schemas.openxmlformats.org/officeDocument/2006/relationships/hyperlink" Target="http://heartofcomp.altervista.org/zcm.zip" TargetMode="External"/><Relationship Id="rId513" Type="http://schemas.openxmlformats.org/officeDocument/2006/relationships/hyperlink" Target="http://www.winzip.com/" TargetMode="External"/><Relationship Id="rId597" Type="http://schemas.openxmlformats.org/officeDocument/2006/relationships/hyperlink" Target="http://www.rawzor.com/" TargetMode="External"/><Relationship Id="rId152" Type="http://schemas.openxmlformats.org/officeDocument/2006/relationships/hyperlink" Target="http://www.emit.jp/dgca/dgca_e.html" TargetMode="External"/><Relationship Id="rId457" Type="http://schemas.openxmlformats.org/officeDocument/2006/relationships/hyperlink" Target="http://libbsc.com/" TargetMode="External"/><Relationship Id="rId664" Type="http://schemas.openxmlformats.org/officeDocument/2006/relationships/hyperlink" Target="http://www.rawzor.com/" TargetMode="External"/><Relationship Id="rId14" Type="http://schemas.openxmlformats.org/officeDocument/2006/relationships/hyperlink" Target="http://de.download.nvidia.com/Windows/295.73/295.73-notebook-win7-winvista-64bit-international-whql.exe" TargetMode="External"/><Relationship Id="rId317" Type="http://schemas.openxmlformats.org/officeDocument/2006/relationships/hyperlink" Target="http://mattmahoney.net/dc/text.html" TargetMode="External"/><Relationship Id="rId524" Type="http://schemas.openxmlformats.org/officeDocument/2006/relationships/hyperlink" Target="http://www.mattmahoney.net/dc/text.html" TargetMode="External"/><Relationship Id="rId98" Type="http://schemas.openxmlformats.org/officeDocument/2006/relationships/hyperlink" Target="http://heartofcomp.altervista.org/zcm.zip" TargetMode="External"/><Relationship Id="rId163" Type="http://schemas.openxmlformats.org/officeDocument/2006/relationships/hyperlink" Target="http://www.emit.jp/dgca/dgca_e.html" TargetMode="External"/><Relationship Id="rId370" Type="http://schemas.openxmlformats.org/officeDocument/2006/relationships/hyperlink" Target="http://www.mattmahoney.net/dc/text.html" TargetMode="External"/><Relationship Id="rId230" Type="http://schemas.openxmlformats.org/officeDocument/2006/relationships/hyperlink" Target="http://freearc.org/" TargetMode="External"/><Relationship Id="rId468" Type="http://schemas.openxmlformats.org/officeDocument/2006/relationships/hyperlink" Target="http://schnaader.info/precomp.php" TargetMode="External"/><Relationship Id="rId675" Type="http://schemas.openxmlformats.org/officeDocument/2006/relationships/hyperlink" Target="http://www.winace.com/" TargetMode="External"/><Relationship Id="rId25" Type="http://schemas.openxmlformats.org/officeDocument/2006/relationships/hyperlink" Target="http://www.bzip.org/" TargetMode="External"/><Relationship Id="rId328" Type="http://schemas.openxmlformats.org/officeDocument/2006/relationships/hyperlink" Target="http://mattmahoney.net/dc/text.html" TargetMode="External"/><Relationship Id="rId535" Type="http://schemas.openxmlformats.org/officeDocument/2006/relationships/hyperlink" Target="http://freearc.org/" TargetMode="External"/><Relationship Id="rId174" Type="http://schemas.openxmlformats.org/officeDocument/2006/relationships/hyperlink" Target="http://www.7-zip.org/" TargetMode="External"/><Relationship Id="rId381" Type="http://schemas.openxmlformats.org/officeDocument/2006/relationships/hyperlink" Target="http://www.mattmahoney.net/dc/text.html" TargetMode="External"/><Relationship Id="rId602" Type="http://schemas.openxmlformats.org/officeDocument/2006/relationships/hyperlink" Target="http://www.bzip.org/" TargetMode="External"/><Relationship Id="rId241" Type="http://schemas.openxmlformats.org/officeDocument/2006/relationships/hyperlink" Target="http://freearc.org/" TargetMode="External"/><Relationship Id="rId479" Type="http://schemas.openxmlformats.org/officeDocument/2006/relationships/hyperlink" Target="http://schnaader.info/precomp.php" TargetMode="External"/><Relationship Id="rId686" Type="http://schemas.openxmlformats.org/officeDocument/2006/relationships/hyperlink" Target="http://www.7-zip.org/" TargetMode="External"/><Relationship Id="rId36" Type="http://schemas.openxmlformats.org/officeDocument/2006/relationships/hyperlink" Target="http://www.bzip.org/" TargetMode="External"/><Relationship Id="rId339" Type="http://schemas.openxmlformats.org/officeDocument/2006/relationships/hyperlink" Target="http://nishi.dreamhosters.com/u/reflate_v0c1.rar" TargetMode="External"/><Relationship Id="rId546" Type="http://schemas.openxmlformats.org/officeDocument/2006/relationships/hyperlink" Target="http://www.renoise.com/" TargetMode="External"/><Relationship Id="rId101" Type="http://schemas.openxmlformats.org/officeDocument/2006/relationships/hyperlink" Target="http://heartofcomp.altervista.org/zcm.zip" TargetMode="External"/><Relationship Id="rId185" Type="http://schemas.openxmlformats.org/officeDocument/2006/relationships/hyperlink" Target="http://www.7-zip.org/" TargetMode="External"/><Relationship Id="rId406" Type="http://schemas.openxmlformats.org/officeDocument/2006/relationships/hyperlink" Target="http://www.compression.ru/ds/" TargetMode="External"/><Relationship Id="rId392" Type="http://schemas.openxmlformats.org/officeDocument/2006/relationships/hyperlink" Target="http://www.compression.ru/ds/" TargetMode="External"/><Relationship Id="rId613" Type="http://schemas.openxmlformats.org/officeDocument/2006/relationships/hyperlink" Target="http://nishi.dreamhosters.com/u/reflate_v0c1.rar" TargetMode="External"/><Relationship Id="rId252" Type="http://schemas.openxmlformats.org/officeDocument/2006/relationships/hyperlink" Target="http://www.winace.com/" TargetMode="External"/><Relationship Id="rId47" Type="http://schemas.openxmlformats.org/officeDocument/2006/relationships/hyperlink" Target="http://www.bzip.org/" TargetMode="External"/><Relationship Id="rId112" Type="http://schemas.openxmlformats.org/officeDocument/2006/relationships/hyperlink" Target="http://www.rarlabs.com/" TargetMode="External"/><Relationship Id="rId557" Type="http://schemas.openxmlformats.org/officeDocument/2006/relationships/hyperlink" Target="http://www.madtracker.org/" TargetMode="External"/><Relationship Id="rId196" Type="http://schemas.openxmlformats.org/officeDocument/2006/relationships/hyperlink" Target="http://www.nanozip.net/" TargetMode="External"/><Relationship Id="rId417" Type="http://schemas.openxmlformats.org/officeDocument/2006/relationships/hyperlink" Target="http://code.google.com/p/lzham/" TargetMode="External"/><Relationship Id="rId624" Type="http://schemas.openxmlformats.org/officeDocument/2006/relationships/hyperlink" Target="http://heartofcomp.altervista.org/zcm.zip" TargetMode="External"/><Relationship Id="rId263" Type="http://schemas.openxmlformats.org/officeDocument/2006/relationships/hyperlink" Target="http://www.winace.com/" TargetMode="External"/><Relationship Id="rId470" Type="http://schemas.openxmlformats.org/officeDocument/2006/relationships/hyperlink" Target="http://schnaader.info/precomp.php" TargetMode="External"/><Relationship Id="rId58" Type="http://schemas.openxmlformats.org/officeDocument/2006/relationships/hyperlink" Target="http://www.winzip.com/" TargetMode="External"/><Relationship Id="rId123" Type="http://schemas.openxmlformats.org/officeDocument/2006/relationships/hyperlink" Target="http://www.rarlabs.com/" TargetMode="External"/><Relationship Id="rId330" Type="http://schemas.openxmlformats.org/officeDocument/2006/relationships/hyperlink" Target="http://mattmahoney.net/dc/text.html" TargetMode="External"/><Relationship Id="rId568" Type="http://schemas.openxmlformats.org/officeDocument/2006/relationships/hyperlink" Target="http://www.nanozip.net/" TargetMode="External"/><Relationship Id="rId428" Type="http://schemas.openxmlformats.org/officeDocument/2006/relationships/hyperlink" Target="http://code.google.com/p/lzham/" TargetMode="External"/><Relationship Id="rId635" Type="http://schemas.openxmlformats.org/officeDocument/2006/relationships/hyperlink" Target="http://www.compression.ru/ds/" TargetMode="External"/><Relationship Id="rId274" Type="http://schemas.openxmlformats.org/officeDocument/2006/relationships/hyperlink" Target="http://www.winace.com/" TargetMode="External"/><Relationship Id="rId481" Type="http://schemas.openxmlformats.org/officeDocument/2006/relationships/hyperlink" Target="http://schnaader.info/precomp.php" TargetMode="External"/><Relationship Id="rId69" Type="http://schemas.openxmlformats.org/officeDocument/2006/relationships/hyperlink" Target="http://www.winzip.com/" TargetMode="External"/><Relationship Id="rId134" Type="http://schemas.openxmlformats.org/officeDocument/2006/relationships/hyperlink" Target="http://www.rarlabs.com/" TargetMode="External"/><Relationship Id="rId579" Type="http://schemas.openxmlformats.org/officeDocument/2006/relationships/hyperlink" Target="http://www.bzip.org/" TargetMode="External"/><Relationship Id="rId341" Type="http://schemas.openxmlformats.org/officeDocument/2006/relationships/hyperlink" Target="http://nishi.dreamhosters.com/u/reflate_v0c1.rar" TargetMode="External"/><Relationship Id="rId439" Type="http://schemas.openxmlformats.org/officeDocument/2006/relationships/hyperlink" Target="http://code.google.com/p/lzham/" TargetMode="External"/><Relationship Id="rId646" Type="http://schemas.openxmlformats.org/officeDocument/2006/relationships/hyperlink" Target="http://img.photographyblog.com/reviews/fujifilm_x_e1/sample_images/fujifilm_x_e1_20.raf" TargetMode="External"/><Relationship Id="rId201" Type="http://schemas.openxmlformats.org/officeDocument/2006/relationships/hyperlink" Target="http://www.nanozip.net/" TargetMode="External"/><Relationship Id="rId285" Type="http://schemas.openxmlformats.org/officeDocument/2006/relationships/hyperlink" Target="http://ftp.sac.sk/sac/pack/uharc06b.zip" TargetMode="External"/><Relationship Id="rId506" Type="http://schemas.openxmlformats.org/officeDocument/2006/relationships/hyperlink" Target="http://mattmahoney.net/dc/text.html" TargetMode="External"/><Relationship Id="rId492" Type="http://schemas.openxmlformats.org/officeDocument/2006/relationships/hyperlink" Target="http://schnaader.info/precomp.php" TargetMode="External"/><Relationship Id="rId145" Type="http://schemas.openxmlformats.org/officeDocument/2006/relationships/hyperlink" Target="http://www.emit.jp/dgca/dgca_e.html" TargetMode="External"/><Relationship Id="rId352" Type="http://schemas.openxmlformats.org/officeDocument/2006/relationships/hyperlink" Target="http://nishi.dreamhosters.com/u/reflate_v0c1.rar" TargetMode="External"/><Relationship Id="rId212" Type="http://schemas.openxmlformats.org/officeDocument/2006/relationships/hyperlink" Target="http://www.nanozip.net/" TargetMode="External"/><Relationship Id="rId657" Type="http://schemas.openxmlformats.org/officeDocument/2006/relationships/hyperlink" Target="http://mattmahoney.net/dc/text.html" TargetMode="External"/><Relationship Id="rId49" Type="http://schemas.openxmlformats.org/officeDocument/2006/relationships/hyperlink" Target="http://www.bzip.org/" TargetMode="External"/><Relationship Id="rId114" Type="http://schemas.openxmlformats.org/officeDocument/2006/relationships/hyperlink" Target="http://www.rarlabs.com/" TargetMode="External"/><Relationship Id="rId296" Type="http://schemas.openxmlformats.org/officeDocument/2006/relationships/hyperlink" Target="http://ftp.sac.sk/sac/pack/uharc06b.zip" TargetMode="External"/><Relationship Id="rId461" Type="http://schemas.openxmlformats.org/officeDocument/2006/relationships/hyperlink" Target="http://libbsc.com/" TargetMode="External"/><Relationship Id="rId517" Type="http://schemas.openxmlformats.org/officeDocument/2006/relationships/hyperlink" Target="http://www.7-zip.org/" TargetMode="External"/><Relationship Id="rId559" Type="http://schemas.openxmlformats.org/officeDocument/2006/relationships/hyperlink" Target="http://www.un4seen.com/mo3.html" TargetMode="External"/><Relationship Id="rId60" Type="http://schemas.openxmlformats.org/officeDocument/2006/relationships/hyperlink" Target="http://www.winzip.com/" TargetMode="External"/><Relationship Id="rId156" Type="http://schemas.openxmlformats.org/officeDocument/2006/relationships/hyperlink" Target="http://www.emit.jp/dgca/dgca_e.html" TargetMode="External"/><Relationship Id="rId198" Type="http://schemas.openxmlformats.org/officeDocument/2006/relationships/hyperlink" Target="http://www.nanozip.net/" TargetMode="External"/><Relationship Id="rId321" Type="http://schemas.openxmlformats.org/officeDocument/2006/relationships/hyperlink" Target="http://mattmahoney.net/dc/text.html" TargetMode="External"/><Relationship Id="rId363" Type="http://schemas.openxmlformats.org/officeDocument/2006/relationships/hyperlink" Target="http://www.mattmahoney.net/dc/text.html" TargetMode="External"/><Relationship Id="rId419" Type="http://schemas.openxmlformats.org/officeDocument/2006/relationships/hyperlink" Target="http://code.google.com/p/lzham/" TargetMode="External"/><Relationship Id="rId570" Type="http://schemas.openxmlformats.org/officeDocument/2006/relationships/hyperlink" Target="http://www.winace.com/" TargetMode="External"/><Relationship Id="rId626" Type="http://schemas.openxmlformats.org/officeDocument/2006/relationships/hyperlink" Target="http://www.emit.jp/dgca/dgca_e.html" TargetMode="External"/><Relationship Id="rId223" Type="http://schemas.openxmlformats.org/officeDocument/2006/relationships/hyperlink" Target="http://freearc.org/" TargetMode="External"/><Relationship Id="rId430" Type="http://schemas.openxmlformats.org/officeDocument/2006/relationships/hyperlink" Target="http://code.google.com/p/lzham/" TargetMode="External"/><Relationship Id="rId668" Type="http://schemas.openxmlformats.org/officeDocument/2006/relationships/hyperlink" Target="http://www.winzip.com/" TargetMode="External"/><Relationship Id="rId18" Type="http://schemas.openxmlformats.org/officeDocument/2006/relationships/hyperlink" Target="http://archive.org/download/uso20080202/uso20080202-03-smetana-vltava.wav" TargetMode="External"/><Relationship Id="rId265" Type="http://schemas.openxmlformats.org/officeDocument/2006/relationships/hyperlink" Target="http://www.winace.com/" TargetMode="External"/><Relationship Id="rId472" Type="http://schemas.openxmlformats.org/officeDocument/2006/relationships/hyperlink" Target="http://schnaader.info/precomp.php" TargetMode="External"/><Relationship Id="rId528" Type="http://schemas.openxmlformats.org/officeDocument/2006/relationships/hyperlink" Target="http://www.bzip.org/" TargetMode="External"/><Relationship Id="rId125" Type="http://schemas.openxmlformats.org/officeDocument/2006/relationships/hyperlink" Target="http://www.rarlabs.com/" TargetMode="External"/><Relationship Id="rId167" Type="http://schemas.openxmlformats.org/officeDocument/2006/relationships/hyperlink" Target="http://www.7-zip.org/" TargetMode="External"/><Relationship Id="rId332" Type="http://schemas.openxmlformats.org/officeDocument/2006/relationships/hyperlink" Target="http://nishi.dreamhosters.com/u/reflate_v0c1.rar" TargetMode="External"/><Relationship Id="rId374" Type="http://schemas.openxmlformats.org/officeDocument/2006/relationships/hyperlink" Target="http://www.mattmahoney.net/dc/text.html" TargetMode="External"/><Relationship Id="rId581" Type="http://schemas.openxmlformats.org/officeDocument/2006/relationships/hyperlink" Target="http://heartofcomp.altervista.org/zcm.zip" TargetMode="External"/><Relationship Id="rId71" Type="http://schemas.openxmlformats.org/officeDocument/2006/relationships/hyperlink" Target="http://www.winzip.com/" TargetMode="External"/><Relationship Id="rId234" Type="http://schemas.openxmlformats.org/officeDocument/2006/relationships/hyperlink" Target="http://freearc.org/" TargetMode="External"/><Relationship Id="rId637" Type="http://schemas.openxmlformats.org/officeDocument/2006/relationships/hyperlink" Target="http://libbsc.com/" TargetMode="External"/><Relationship Id="rId679" Type="http://schemas.openxmlformats.org/officeDocument/2006/relationships/hyperlink" Target="http://www.mattmahoney.net/dc/text.html" TargetMode="External"/><Relationship Id="rId2" Type="http://schemas.openxmlformats.org/officeDocument/2006/relationships/hyperlink" Target="http://www.apple.com/trailers/paramount/startrek/" TargetMode="External"/><Relationship Id="rId29" Type="http://schemas.openxmlformats.org/officeDocument/2006/relationships/hyperlink" Target="http://www.bzip.org/" TargetMode="External"/><Relationship Id="rId276" Type="http://schemas.openxmlformats.org/officeDocument/2006/relationships/hyperlink" Target="http://ftp.sac.sk/sac/pack/uharc06b.zip" TargetMode="External"/><Relationship Id="rId441" Type="http://schemas.openxmlformats.org/officeDocument/2006/relationships/hyperlink" Target="http://libbsc.com/" TargetMode="External"/><Relationship Id="rId483" Type="http://schemas.openxmlformats.org/officeDocument/2006/relationships/hyperlink" Target="http://schnaader.info/precomp.php" TargetMode="External"/><Relationship Id="rId539" Type="http://schemas.openxmlformats.org/officeDocument/2006/relationships/hyperlink" Target="http://nishi.dreamhosters.com/u/reflate_v0c1.rar" TargetMode="External"/><Relationship Id="rId690" Type="http://schemas.openxmlformats.org/officeDocument/2006/relationships/vmlDrawing" Target="../drawings/vmlDrawing3.vml"/><Relationship Id="rId40" Type="http://schemas.openxmlformats.org/officeDocument/2006/relationships/hyperlink" Target="http://www.bzip.org/" TargetMode="External"/><Relationship Id="rId136" Type="http://schemas.openxmlformats.org/officeDocument/2006/relationships/hyperlink" Target="http://www.emit.jp/dgca/dgca_e.html" TargetMode="External"/><Relationship Id="rId178" Type="http://schemas.openxmlformats.org/officeDocument/2006/relationships/hyperlink" Target="http://www.7-zip.org/" TargetMode="External"/><Relationship Id="rId301" Type="http://schemas.openxmlformats.org/officeDocument/2006/relationships/hyperlink" Target="http://ftp.sac.sk/sac/pack/uharc06b.zip" TargetMode="External"/><Relationship Id="rId343" Type="http://schemas.openxmlformats.org/officeDocument/2006/relationships/hyperlink" Target="http://nishi.dreamhosters.com/u/reflate_v0c1.rar" TargetMode="External"/><Relationship Id="rId550" Type="http://schemas.openxmlformats.org/officeDocument/2006/relationships/hyperlink" Target="http://psycle.pastnotecut.org/portal.php" TargetMode="External"/><Relationship Id="rId82" Type="http://schemas.openxmlformats.org/officeDocument/2006/relationships/hyperlink" Target="http://heartofcomp.altervista.org/zcm.zip" TargetMode="External"/><Relationship Id="rId203" Type="http://schemas.openxmlformats.org/officeDocument/2006/relationships/hyperlink" Target="http://www.nanozip.net/" TargetMode="External"/><Relationship Id="rId385" Type="http://schemas.openxmlformats.org/officeDocument/2006/relationships/hyperlink" Target="http://www.compression.ru/ds/" TargetMode="External"/><Relationship Id="rId592" Type="http://schemas.openxmlformats.org/officeDocument/2006/relationships/hyperlink" Target="http://www.compression.ru/ds/" TargetMode="External"/><Relationship Id="rId606" Type="http://schemas.openxmlformats.org/officeDocument/2006/relationships/hyperlink" Target="http://www.emit.jp/dgca/dgca_e.html" TargetMode="External"/><Relationship Id="rId648" Type="http://schemas.openxmlformats.org/officeDocument/2006/relationships/hyperlink" Target="http://www.winzip.com/" TargetMode="External"/><Relationship Id="rId245" Type="http://schemas.openxmlformats.org/officeDocument/2006/relationships/hyperlink" Target="http://freearc.org/" TargetMode="External"/><Relationship Id="rId287" Type="http://schemas.openxmlformats.org/officeDocument/2006/relationships/hyperlink" Target="http://ftp.sac.sk/sac/pack/uharc06b.zip" TargetMode="External"/><Relationship Id="rId410" Type="http://schemas.openxmlformats.org/officeDocument/2006/relationships/hyperlink" Target="http://www.compression.ru/ds/" TargetMode="External"/><Relationship Id="rId452" Type="http://schemas.openxmlformats.org/officeDocument/2006/relationships/hyperlink" Target="http://libbsc.com/" TargetMode="External"/><Relationship Id="rId494" Type="http://schemas.openxmlformats.org/officeDocument/2006/relationships/hyperlink" Target="http://schnaader.info/precomp.php" TargetMode="External"/><Relationship Id="rId508" Type="http://schemas.openxmlformats.org/officeDocument/2006/relationships/hyperlink" Target="http://www.mattmahoney.net/dc/text.html" TargetMode="External"/><Relationship Id="rId105" Type="http://schemas.openxmlformats.org/officeDocument/2006/relationships/hyperlink" Target="http://heartofcomp.altervista.org/zcm.zip" TargetMode="External"/><Relationship Id="rId147" Type="http://schemas.openxmlformats.org/officeDocument/2006/relationships/hyperlink" Target="http://www.emit.jp/dgca/dgca_e.html" TargetMode="External"/><Relationship Id="rId312" Type="http://schemas.openxmlformats.org/officeDocument/2006/relationships/hyperlink" Target="http://mattmahoney.net/dc/text.html" TargetMode="External"/><Relationship Id="rId354" Type="http://schemas.openxmlformats.org/officeDocument/2006/relationships/hyperlink" Target="http://nishi.dreamhosters.com/u/reflate_v0c1.rar" TargetMode="External"/><Relationship Id="rId51" Type="http://schemas.openxmlformats.org/officeDocument/2006/relationships/hyperlink" Target="http://www.bzip.org/" TargetMode="External"/><Relationship Id="rId93" Type="http://schemas.openxmlformats.org/officeDocument/2006/relationships/hyperlink" Target="http://heartofcomp.altervista.org/zcm.zip" TargetMode="External"/><Relationship Id="rId189" Type="http://schemas.openxmlformats.org/officeDocument/2006/relationships/hyperlink" Target="http://www.7-zip.org/" TargetMode="External"/><Relationship Id="rId396" Type="http://schemas.openxmlformats.org/officeDocument/2006/relationships/hyperlink" Target="http://www.compression.ru/ds/" TargetMode="External"/><Relationship Id="rId561" Type="http://schemas.openxmlformats.org/officeDocument/2006/relationships/hyperlink" Target="http://sagamusix.de/download/discovery/mod/" TargetMode="External"/><Relationship Id="rId617" Type="http://schemas.openxmlformats.org/officeDocument/2006/relationships/hyperlink" Target="http://libbsc.com/" TargetMode="External"/><Relationship Id="rId659" Type="http://schemas.openxmlformats.org/officeDocument/2006/relationships/hyperlink" Target="http://www.mattmahoney.net/dc/text.html" TargetMode="External"/><Relationship Id="rId214" Type="http://schemas.openxmlformats.org/officeDocument/2006/relationships/hyperlink" Target="http://www.nanozip.net/" TargetMode="External"/><Relationship Id="rId256" Type="http://schemas.openxmlformats.org/officeDocument/2006/relationships/hyperlink" Target="http://www.winace.com/" TargetMode="External"/><Relationship Id="rId298" Type="http://schemas.openxmlformats.org/officeDocument/2006/relationships/hyperlink" Target="http://ftp.sac.sk/sac/pack/uharc06b.zip" TargetMode="External"/><Relationship Id="rId421" Type="http://schemas.openxmlformats.org/officeDocument/2006/relationships/hyperlink" Target="http://code.google.com/p/lzham/" TargetMode="External"/><Relationship Id="rId463" Type="http://schemas.openxmlformats.org/officeDocument/2006/relationships/hyperlink" Target="http://libbsc.com/" TargetMode="External"/><Relationship Id="rId519" Type="http://schemas.openxmlformats.org/officeDocument/2006/relationships/hyperlink" Target="http://freearc.org/" TargetMode="External"/><Relationship Id="rId670" Type="http://schemas.openxmlformats.org/officeDocument/2006/relationships/hyperlink" Target="http://www.rarlabs.com/" TargetMode="External"/><Relationship Id="rId116" Type="http://schemas.openxmlformats.org/officeDocument/2006/relationships/hyperlink" Target="http://www.rarlabs.com/" TargetMode="External"/><Relationship Id="rId158" Type="http://schemas.openxmlformats.org/officeDocument/2006/relationships/hyperlink" Target="http://www.emit.jp/dgca/dgca_e.html" TargetMode="External"/><Relationship Id="rId323" Type="http://schemas.openxmlformats.org/officeDocument/2006/relationships/hyperlink" Target="http://mattmahoney.net/dc/text.html" TargetMode="External"/><Relationship Id="rId530" Type="http://schemas.openxmlformats.org/officeDocument/2006/relationships/hyperlink" Target="http://heartofcomp.altervista.org/zcm.zip" TargetMode="External"/><Relationship Id="rId20" Type="http://schemas.openxmlformats.org/officeDocument/2006/relationships/hyperlink" Target="http://stardock.com/products/windowblinds/downloads.asp" TargetMode="External"/><Relationship Id="rId62" Type="http://schemas.openxmlformats.org/officeDocument/2006/relationships/hyperlink" Target="http://www.winzip.com/" TargetMode="External"/><Relationship Id="rId365" Type="http://schemas.openxmlformats.org/officeDocument/2006/relationships/hyperlink" Target="http://www.mattmahoney.net/dc/text.html" TargetMode="External"/><Relationship Id="rId572" Type="http://schemas.openxmlformats.org/officeDocument/2006/relationships/hyperlink" Target="http://mattmahoney.net/dc/text.html" TargetMode="External"/><Relationship Id="rId628" Type="http://schemas.openxmlformats.org/officeDocument/2006/relationships/hyperlink" Target="http://www.nanozip.net/" TargetMode="External"/><Relationship Id="rId225" Type="http://schemas.openxmlformats.org/officeDocument/2006/relationships/hyperlink" Target="http://freearc.org/" TargetMode="External"/><Relationship Id="rId267" Type="http://schemas.openxmlformats.org/officeDocument/2006/relationships/hyperlink" Target="http://www.winace.com/" TargetMode="External"/><Relationship Id="rId432" Type="http://schemas.openxmlformats.org/officeDocument/2006/relationships/hyperlink" Target="http://code.google.com/p/lzham/" TargetMode="External"/><Relationship Id="rId474" Type="http://schemas.openxmlformats.org/officeDocument/2006/relationships/hyperlink" Target="http://schnaader.info/precomp.php" TargetMode="External"/><Relationship Id="rId127" Type="http://schemas.openxmlformats.org/officeDocument/2006/relationships/hyperlink" Target="http://www.rarlabs.com/" TargetMode="External"/><Relationship Id="rId681" Type="http://schemas.openxmlformats.org/officeDocument/2006/relationships/hyperlink" Target="http://code.google.com/p/lzham/" TargetMode="External"/><Relationship Id="rId31" Type="http://schemas.openxmlformats.org/officeDocument/2006/relationships/hyperlink" Target="http://www.bzip.org/" TargetMode="External"/><Relationship Id="rId73" Type="http://schemas.openxmlformats.org/officeDocument/2006/relationships/hyperlink" Target="http://www.winzip.com/" TargetMode="External"/><Relationship Id="rId169" Type="http://schemas.openxmlformats.org/officeDocument/2006/relationships/hyperlink" Target="http://www.7-zip.org/" TargetMode="External"/><Relationship Id="rId334" Type="http://schemas.openxmlformats.org/officeDocument/2006/relationships/hyperlink" Target="http://nishi.dreamhosters.com/u/reflate_v0c1.rar" TargetMode="External"/><Relationship Id="rId376" Type="http://schemas.openxmlformats.org/officeDocument/2006/relationships/hyperlink" Target="http://www.mattmahoney.net/dc/text.html" TargetMode="External"/><Relationship Id="rId541" Type="http://schemas.openxmlformats.org/officeDocument/2006/relationships/hyperlink" Target="http://www.compression.ru/ds/" TargetMode="External"/><Relationship Id="rId583" Type="http://schemas.openxmlformats.org/officeDocument/2006/relationships/hyperlink" Target="http://www.emit.jp/dgca/dgca_e.html" TargetMode="External"/><Relationship Id="rId639" Type="http://schemas.openxmlformats.org/officeDocument/2006/relationships/hyperlink" Target="http://www.rawzor.com/" TargetMode="External"/><Relationship Id="rId4" Type="http://schemas.openxmlformats.org/officeDocument/2006/relationships/hyperlink" Target="http://www.apple.com/trailers/paramount/startrek/" TargetMode="External"/><Relationship Id="rId180" Type="http://schemas.openxmlformats.org/officeDocument/2006/relationships/hyperlink" Target="http://www.7-zip.org/" TargetMode="External"/><Relationship Id="rId236" Type="http://schemas.openxmlformats.org/officeDocument/2006/relationships/hyperlink" Target="http://freearc.org/" TargetMode="External"/><Relationship Id="rId278" Type="http://schemas.openxmlformats.org/officeDocument/2006/relationships/hyperlink" Target="http://ftp.sac.sk/sac/pack/uharc06b.zip" TargetMode="External"/><Relationship Id="rId401" Type="http://schemas.openxmlformats.org/officeDocument/2006/relationships/hyperlink" Target="http://www.compression.ru/ds/" TargetMode="External"/><Relationship Id="rId443" Type="http://schemas.openxmlformats.org/officeDocument/2006/relationships/hyperlink" Target="http://libbsc.com/" TargetMode="External"/><Relationship Id="rId650" Type="http://schemas.openxmlformats.org/officeDocument/2006/relationships/hyperlink" Target="http://www.rarlabs.com/" TargetMode="External"/><Relationship Id="rId303" Type="http://schemas.openxmlformats.org/officeDocument/2006/relationships/hyperlink" Target="http://mattmahoney.net/dc/text.html" TargetMode="External"/><Relationship Id="rId485" Type="http://schemas.openxmlformats.org/officeDocument/2006/relationships/hyperlink" Target="http://schnaader.info/precomp.php" TargetMode="External"/><Relationship Id="rId42" Type="http://schemas.openxmlformats.org/officeDocument/2006/relationships/hyperlink" Target="http://www.bzip.org/" TargetMode="External"/><Relationship Id="rId84" Type="http://schemas.openxmlformats.org/officeDocument/2006/relationships/hyperlink" Target="http://heartofcomp.altervista.org/zcm.zip" TargetMode="External"/><Relationship Id="rId138" Type="http://schemas.openxmlformats.org/officeDocument/2006/relationships/hyperlink" Target="http://www.emit.jp/dgca/dgca_e.html" TargetMode="External"/><Relationship Id="rId345" Type="http://schemas.openxmlformats.org/officeDocument/2006/relationships/hyperlink" Target="http://nishi.dreamhosters.com/u/reflate_v0c1.rar" TargetMode="External"/><Relationship Id="rId387" Type="http://schemas.openxmlformats.org/officeDocument/2006/relationships/hyperlink" Target="http://www.compression.ru/ds/" TargetMode="External"/><Relationship Id="rId510" Type="http://schemas.openxmlformats.org/officeDocument/2006/relationships/hyperlink" Target="http://code.google.com/p/lzham/" TargetMode="External"/><Relationship Id="rId552" Type="http://schemas.openxmlformats.org/officeDocument/2006/relationships/hyperlink" Target="http://openmpt.org/download" TargetMode="External"/><Relationship Id="rId594" Type="http://schemas.openxmlformats.org/officeDocument/2006/relationships/hyperlink" Target="http://libbsc.com/" TargetMode="External"/><Relationship Id="rId608" Type="http://schemas.openxmlformats.org/officeDocument/2006/relationships/hyperlink" Target="http://www.nanozip.net/" TargetMode="External"/><Relationship Id="rId191" Type="http://schemas.openxmlformats.org/officeDocument/2006/relationships/hyperlink" Target="http://www.7-zip.org/" TargetMode="External"/><Relationship Id="rId205" Type="http://schemas.openxmlformats.org/officeDocument/2006/relationships/hyperlink" Target="http://www.nanozip.net/" TargetMode="External"/><Relationship Id="rId247" Type="http://schemas.openxmlformats.org/officeDocument/2006/relationships/hyperlink" Target="http://freearc.org/" TargetMode="External"/><Relationship Id="rId412" Type="http://schemas.openxmlformats.org/officeDocument/2006/relationships/hyperlink" Target="http://code.google.com/p/lzham/" TargetMode="External"/><Relationship Id="rId107" Type="http://schemas.openxmlformats.org/officeDocument/2006/relationships/hyperlink" Target="http://heartofcomp.altervista.org/zcm.zip" TargetMode="External"/><Relationship Id="rId289" Type="http://schemas.openxmlformats.org/officeDocument/2006/relationships/hyperlink" Target="http://ftp.sac.sk/sac/pack/uharc06b.zip" TargetMode="External"/><Relationship Id="rId454" Type="http://schemas.openxmlformats.org/officeDocument/2006/relationships/hyperlink" Target="http://libbsc.com/" TargetMode="External"/><Relationship Id="rId496" Type="http://schemas.openxmlformats.org/officeDocument/2006/relationships/hyperlink" Target="http://www.bzip.org/" TargetMode="External"/><Relationship Id="rId661" Type="http://schemas.openxmlformats.org/officeDocument/2006/relationships/hyperlink" Target="http://code.google.com/p/lzham/" TargetMode="External"/><Relationship Id="rId11" Type="http://schemas.openxmlformats.org/officeDocument/2006/relationships/hyperlink" Target="http://www.squeezechart.com/flumy.png" TargetMode="External"/><Relationship Id="rId53" Type="http://schemas.openxmlformats.org/officeDocument/2006/relationships/hyperlink" Target="http://www.winzip.com/" TargetMode="External"/><Relationship Id="rId149" Type="http://schemas.openxmlformats.org/officeDocument/2006/relationships/hyperlink" Target="http://www.emit.jp/dgca/dgca_e.html" TargetMode="External"/><Relationship Id="rId314" Type="http://schemas.openxmlformats.org/officeDocument/2006/relationships/hyperlink" Target="http://mattmahoney.net/dc/text.html" TargetMode="External"/><Relationship Id="rId356" Type="http://schemas.openxmlformats.org/officeDocument/2006/relationships/hyperlink" Target="http://nishi.dreamhosters.com/u/reflate_v0c1.rar" TargetMode="External"/><Relationship Id="rId398" Type="http://schemas.openxmlformats.org/officeDocument/2006/relationships/hyperlink" Target="http://www.compression.ru/ds/" TargetMode="External"/><Relationship Id="rId521" Type="http://schemas.openxmlformats.org/officeDocument/2006/relationships/hyperlink" Target="http://ftp.sac.sk/sac/pack/uharc06b.zip" TargetMode="External"/><Relationship Id="rId563" Type="http://schemas.openxmlformats.org/officeDocument/2006/relationships/hyperlink" Target="http://www.winzip.com/" TargetMode="External"/><Relationship Id="rId619" Type="http://schemas.openxmlformats.org/officeDocument/2006/relationships/hyperlink" Target="http://www.rawzor.com/" TargetMode="External"/><Relationship Id="rId95" Type="http://schemas.openxmlformats.org/officeDocument/2006/relationships/hyperlink" Target="http://heartofcomp.altervista.org/zcm.zip" TargetMode="External"/><Relationship Id="rId160" Type="http://schemas.openxmlformats.org/officeDocument/2006/relationships/hyperlink" Target="http://www.emit.jp/dgca/dgca_e.html" TargetMode="External"/><Relationship Id="rId216" Type="http://schemas.openxmlformats.org/officeDocument/2006/relationships/hyperlink" Target="http://www.nanozip.net/" TargetMode="External"/><Relationship Id="rId423" Type="http://schemas.openxmlformats.org/officeDocument/2006/relationships/hyperlink" Target="http://code.google.com/p/lzham/" TargetMode="External"/><Relationship Id="rId258" Type="http://schemas.openxmlformats.org/officeDocument/2006/relationships/hyperlink" Target="http://www.winace.com/" TargetMode="External"/><Relationship Id="rId465" Type="http://schemas.openxmlformats.org/officeDocument/2006/relationships/hyperlink" Target="http://libbsc.com/" TargetMode="External"/><Relationship Id="rId630" Type="http://schemas.openxmlformats.org/officeDocument/2006/relationships/hyperlink" Target="http://www.winace.com/" TargetMode="External"/><Relationship Id="rId672" Type="http://schemas.openxmlformats.org/officeDocument/2006/relationships/hyperlink" Target="http://www.7-zip.org/" TargetMode="External"/><Relationship Id="rId22" Type="http://schemas.openxmlformats.org/officeDocument/2006/relationships/hyperlink" Target="http://soundcloud.com/cyan-music/new-age-hippies-metamorphosia" TargetMode="External"/><Relationship Id="rId64" Type="http://schemas.openxmlformats.org/officeDocument/2006/relationships/hyperlink" Target="http://www.winzip.com/" TargetMode="External"/><Relationship Id="rId118" Type="http://schemas.openxmlformats.org/officeDocument/2006/relationships/hyperlink" Target="http://www.rarlabs.com/" TargetMode="External"/><Relationship Id="rId325" Type="http://schemas.openxmlformats.org/officeDocument/2006/relationships/hyperlink" Target="http://mattmahoney.net/dc/text.html" TargetMode="External"/><Relationship Id="rId367" Type="http://schemas.openxmlformats.org/officeDocument/2006/relationships/hyperlink" Target="http://www.mattmahoney.net/dc/text.html" TargetMode="External"/><Relationship Id="rId532" Type="http://schemas.openxmlformats.org/officeDocument/2006/relationships/hyperlink" Target="http://www.emit.jp/dgca/dgca_e.html" TargetMode="External"/><Relationship Id="rId574" Type="http://schemas.openxmlformats.org/officeDocument/2006/relationships/hyperlink" Target="http://www.mattmahoney.net/dc/text.html" TargetMode="External"/><Relationship Id="rId171" Type="http://schemas.openxmlformats.org/officeDocument/2006/relationships/hyperlink" Target="http://www.7-zip.org/" TargetMode="External"/><Relationship Id="rId227" Type="http://schemas.openxmlformats.org/officeDocument/2006/relationships/hyperlink" Target="http://freearc.org/" TargetMode="External"/><Relationship Id="rId269" Type="http://schemas.openxmlformats.org/officeDocument/2006/relationships/hyperlink" Target="http://www.winace.com/" TargetMode="External"/><Relationship Id="rId434" Type="http://schemas.openxmlformats.org/officeDocument/2006/relationships/hyperlink" Target="http://code.google.com/p/lzham/" TargetMode="External"/><Relationship Id="rId476" Type="http://schemas.openxmlformats.org/officeDocument/2006/relationships/hyperlink" Target="http://schnaader.info/precomp.php" TargetMode="External"/><Relationship Id="rId641" Type="http://schemas.openxmlformats.org/officeDocument/2006/relationships/hyperlink" Target="http://www.7-zip.org/" TargetMode="External"/><Relationship Id="rId683" Type="http://schemas.openxmlformats.org/officeDocument/2006/relationships/hyperlink" Target="http://schnaader.info/precomp.php" TargetMode="External"/><Relationship Id="rId33" Type="http://schemas.openxmlformats.org/officeDocument/2006/relationships/hyperlink" Target="http://www.bzip.org/" TargetMode="External"/><Relationship Id="rId129" Type="http://schemas.openxmlformats.org/officeDocument/2006/relationships/hyperlink" Target="http://www.rarlabs.com/" TargetMode="External"/><Relationship Id="rId280" Type="http://schemas.openxmlformats.org/officeDocument/2006/relationships/hyperlink" Target="http://ftp.sac.sk/sac/pack/uharc06b.zip" TargetMode="External"/><Relationship Id="rId336" Type="http://schemas.openxmlformats.org/officeDocument/2006/relationships/hyperlink" Target="http://nishi.dreamhosters.com/u/reflate_v0c1.rar" TargetMode="External"/><Relationship Id="rId501" Type="http://schemas.openxmlformats.org/officeDocument/2006/relationships/hyperlink" Target="http://www.7-zip.org/" TargetMode="External"/><Relationship Id="rId543" Type="http://schemas.openxmlformats.org/officeDocument/2006/relationships/hyperlink" Target="http://libbsc.com/" TargetMode="External"/><Relationship Id="rId75" Type="http://schemas.openxmlformats.org/officeDocument/2006/relationships/hyperlink" Target="http://www.winzip.com/" TargetMode="External"/><Relationship Id="rId140" Type="http://schemas.openxmlformats.org/officeDocument/2006/relationships/hyperlink" Target="http://www.emit.jp/dgca/dgca_e.html" TargetMode="External"/><Relationship Id="rId182" Type="http://schemas.openxmlformats.org/officeDocument/2006/relationships/hyperlink" Target="http://www.7-zip.org/" TargetMode="External"/><Relationship Id="rId378" Type="http://schemas.openxmlformats.org/officeDocument/2006/relationships/hyperlink" Target="http://www.mattmahoney.net/dc/text.html" TargetMode="External"/><Relationship Id="rId403" Type="http://schemas.openxmlformats.org/officeDocument/2006/relationships/hyperlink" Target="http://www.compression.ru/ds/" TargetMode="External"/><Relationship Id="rId585" Type="http://schemas.openxmlformats.org/officeDocument/2006/relationships/hyperlink" Target="http://www.nanozip.net/" TargetMode="External"/><Relationship Id="rId6" Type="http://schemas.openxmlformats.org/officeDocument/2006/relationships/hyperlink" Target="http://www.diatonis.com/downloads/diatonis_ac3_48k_soal.zip" TargetMode="External"/><Relationship Id="rId238" Type="http://schemas.openxmlformats.org/officeDocument/2006/relationships/hyperlink" Target="http://freearc.org/" TargetMode="External"/><Relationship Id="rId445" Type="http://schemas.openxmlformats.org/officeDocument/2006/relationships/hyperlink" Target="http://libbsc.com/" TargetMode="External"/><Relationship Id="rId487" Type="http://schemas.openxmlformats.org/officeDocument/2006/relationships/hyperlink" Target="http://schnaader.info/precomp.php" TargetMode="External"/><Relationship Id="rId610" Type="http://schemas.openxmlformats.org/officeDocument/2006/relationships/hyperlink" Target="http://www.winace.com/" TargetMode="External"/><Relationship Id="rId652" Type="http://schemas.openxmlformats.org/officeDocument/2006/relationships/hyperlink" Target="http://www.7-zip.org/" TargetMode="External"/><Relationship Id="rId291" Type="http://schemas.openxmlformats.org/officeDocument/2006/relationships/hyperlink" Target="http://ftp.sac.sk/sac/pack/uharc06b.zip" TargetMode="External"/><Relationship Id="rId305" Type="http://schemas.openxmlformats.org/officeDocument/2006/relationships/hyperlink" Target="http://mattmahoney.net/dc/text.html" TargetMode="External"/><Relationship Id="rId347" Type="http://schemas.openxmlformats.org/officeDocument/2006/relationships/hyperlink" Target="http://nishi.dreamhosters.com/u/reflate_v0c1.rar" TargetMode="External"/><Relationship Id="rId512" Type="http://schemas.openxmlformats.org/officeDocument/2006/relationships/hyperlink" Target="http://www.bzip.org/" TargetMode="External"/><Relationship Id="rId44" Type="http://schemas.openxmlformats.org/officeDocument/2006/relationships/hyperlink" Target="http://www.bzip.org/" TargetMode="External"/><Relationship Id="rId86" Type="http://schemas.openxmlformats.org/officeDocument/2006/relationships/hyperlink" Target="http://heartofcomp.altervista.org/zcm.zip" TargetMode="External"/><Relationship Id="rId151" Type="http://schemas.openxmlformats.org/officeDocument/2006/relationships/hyperlink" Target="http://www.emit.jp/dgca/dgca_e.html" TargetMode="External"/><Relationship Id="rId389" Type="http://schemas.openxmlformats.org/officeDocument/2006/relationships/hyperlink" Target="http://www.compression.ru/ds/" TargetMode="External"/><Relationship Id="rId554" Type="http://schemas.openxmlformats.org/officeDocument/2006/relationships/hyperlink" Target="http://sagamusix.de/download/starlit_night/mod/" TargetMode="External"/><Relationship Id="rId596" Type="http://schemas.openxmlformats.org/officeDocument/2006/relationships/hyperlink" Target="http://www.rawzor.com/" TargetMode="External"/><Relationship Id="rId193" Type="http://schemas.openxmlformats.org/officeDocument/2006/relationships/hyperlink" Target="http://www.nanozip.net/" TargetMode="External"/><Relationship Id="rId207" Type="http://schemas.openxmlformats.org/officeDocument/2006/relationships/hyperlink" Target="http://www.nanozip.net/" TargetMode="External"/><Relationship Id="rId249" Type="http://schemas.openxmlformats.org/officeDocument/2006/relationships/hyperlink" Target="http://www.winace.com/" TargetMode="External"/><Relationship Id="rId414" Type="http://schemas.openxmlformats.org/officeDocument/2006/relationships/hyperlink" Target="http://code.google.com/p/lzham/" TargetMode="External"/><Relationship Id="rId456" Type="http://schemas.openxmlformats.org/officeDocument/2006/relationships/hyperlink" Target="http://libbsc.com/" TargetMode="External"/><Relationship Id="rId498" Type="http://schemas.openxmlformats.org/officeDocument/2006/relationships/hyperlink" Target="http://heartofcomp.altervista.org/zcm.zip" TargetMode="External"/><Relationship Id="rId621" Type="http://schemas.openxmlformats.org/officeDocument/2006/relationships/hyperlink" Target="http://www.7-zip.org/" TargetMode="External"/><Relationship Id="rId663" Type="http://schemas.openxmlformats.org/officeDocument/2006/relationships/hyperlink" Target="http://schnaader.info/precomp.php" TargetMode="External"/><Relationship Id="rId13" Type="http://schemas.openxmlformats.org/officeDocument/2006/relationships/hyperlink" Target="http://www.squeezechart.com/mill.jpg" TargetMode="External"/><Relationship Id="rId109" Type="http://schemas.openxmlformats.org/officeDocument/2006/relationships/hyperlink" Target="http://www.rarlabs.com/" TargetMode="External"/><Relationship Id="rId260" Type="http://schemas.openxmlformats.org/officeDocument/2006/relationships/hyperlink" Target="http://www.winace.com/" TargetMode="External"/><Relationship Id="rId316" Type="http://schemas.openxmlformats.org/officeDocument/2006/relationships/hyperlink" Target="http://mattmahoney.net/dc/text.html" TargetMode="External"/><Relationship Id="rId523" Type="http://schemas.openxmlformats.org/officeDocument/2006/relationships/hyperlink" Target="http://nishi.dreamhosters.com/u/reflate_v0c1.rar" TargetMode="External"/><Relationship Id="rId55" Type="http://schemas.openxmlformats.org/officeDocument/2006/relationships/hyperlink" Target="http://www.winzip.com/" TargetMode="External"/><Relationship Id="rId97" Type="http://schemas.openxmlformats.org/officeDocument/2006/relationships/hyperlink" Target="http://heartofcomp.altervista.org/zcm.zip" TargetMode="External"/><Relationship Id="rId120" Type="http://schemas.openxmlformats.org/officeDocument/2006/relationships/hyperlink" Target="http://www.rarlabs.com/" TargetMode="External"/><Relationship Id="rId358" Type="http://schemas.openxmlformats.org/officeDocument/2006/relationships/hyperlink" Target="http://nishi.dreamhosters.com/u/reflate_v0c1.rar" TargetMode="External"/><Relationship Id="rId565" Type="http://schemas.openxmlformats.org/officeDocument/2006/relationships/hyperlink" Target="http://www.rarlabs.com/" TargetMode="External"/><Relationship Id="rId162" Type="http://schemas.openxmlformats.org/officeDocument/2006/relationships/hyperlink" Target="http://www.emit.jp/dgca/dgca_e.html" TargetMode="External"/><Relationship Id="rId218" Type="http://schemas.openxmlformats.org/officeDocument/2006/relationships/hyperlink" Target="http://www.nanozip.net/" TargetMode="External"/><Relationship Id="rId425" Type="http://schemas.openxmlformats.org/officeDocument/2006/relationships/hyperlink" Target="http://code.google.com/p/lzham/" TargetMode="External"/><Relationship Id="rId467" Type="http://schemas.openxmlformats.org/officeDocument/2006/relationships/hyperlink" Target="http://libbsc.com/" TargetMode="External"/><Relationship Id="rId632" Type="http://schemas.openxmlformats.org/officeDocument/2006/relationships/hyperlink" Target="http://mattmahoney.net/dc/text.html" TargetMode="External"/><Relationship Id="rId271" Type="http://schemas.openxmlformats.org/officeDocument/2006/relationships/hyperlink" Target="http://www.winace.com/" TargetMode="External"/><Relationship Id="rId674" Type="http://schemas.openxmlformats.org/officeDocument/2006/relationships/hyperlink" Target="http://freearc.org/" TargetMode="External"/><Relationship Id="rId24" Type="http://schemas.openxmlformats.org/officeDocument/2006/relationships/hyperlink" Target="http://www.bzip.org/" TargetMode="External"/><Relationship Id="rId66" Type="http://schemas.openxmlformats.org/officeDocument/2006/relationships/hyperlink" Target="http://www.winzip.com/" TargetMode="External"/><Relationship Id="rId131" Type="http://schemas.openxmlformats.org/officeDocument/2006/relationships/hyperlink" Target="http://www.rarlabs.com/" TargetMode="External"/><Relationship Id="rId327" Type="http://schemas.openxmlformats.org/officeDocument/2006/relationships/hyperlink" Target="http://mattmahoney.net/dc/text.html" TargetMode="External"/><Relationship Id="rId369" Type="http://schemas.openxmlformats.org/officeDocument/2006/relationships/hyperlink" Target="http://www.mattmahoney.net/dc/text.html" TargetMode="External"/><Relationship Id="rId534" Type="http://schemas.openxmlformats.org/officeDocument/2006/relationships/hyperlink" Target="http://www.nanozip.net/" TargetMode="External"/><Relationship Id="rId576" Type="http://schemas.openxmlformats.org/officeDocument/2006/relationships/hyperlink" Target="http://code.google.com/p/lzham/" TargetMode="External"/><Relationship Id="rId173" Type="http://schemas.openxmlformats.org/officeDocument/2006/relationships/hyperlink" Target="http://www.7-zip.org/" TargetMode="External"/><Relationship Id="rId229" Type="http://schemas.openxmlformats.org/officeDocument/2006/relationships/hyperlink" Target="http://freearc.org/" TargetMode="External"/><Relationship Id="rId380" Type="http://schemas.openxmlformats.org/officeDocument/2006/relationships/hyperlink" Target="http://www.mattmahoney.net/dc/text.html" TargetMode="External"/><Relationship Id="rId436" Type="http://schemas.openxmlformats.org/officeDocument/2006/relationships/hyperlink" Target="http://code.google.com/p/lzham/" TargetMode="External"/><Relationship Id="rId601" Type="http://schemas.openxmlformats.org/officeDocument/2006/relationships/hyperlink" Target="http://www.7-zip.org/" TargetMode="External"/><Relationship Id="rId643" Type="http://schemas.openxmlformats.org/officeDocument/2006/relationships/hyperlink" Target="http://www.squeezechart.com/DSC00347.ARW" TargetMode="External"/><Relationship Id="rId240" Type="http://schemas.openxmlformats.org/officeDocument/2006/relationships/hyperlink" Target="http://freearc.org/" TargetMode="External"/><Relationship Id="rId478" Type="http://schemas.openxmlformats.org/officeDocument/2006/relationships/hyperlink" Target="http://schnaader.info/precomp.php" TargetMode="External"/><Relationship Id="rId685" Type="http://schemas.openxmlformats.org/officeDocument/2006/relationships/hyperlink" Target="http://www.winzip.com/" TargetMode="External"/><Relationship Id="rId35" Type="http://schemas.openxmlformats.org/officeDocument/2006/relationships/hyperlink" Target="http://www.bzip.org/" TargetMode="External"/><Relationship Id="rId77" Type="http://schemas.openxmlformats.org/officeDocument/2006/relationships/hyperlink" Target="http://www.winzip.com/" TargetMode="External"/><Relationship Id="rId100" Type="http://schemas.openxmlformats.org/officeDocument/2006/relationships/hyperlink" Target="http://heartofcomp.altervista.org/zcm.zip" TargetMode="External"/><Relationship Id="rId282" Type="http://schemas.openxmlformats.org/officeDocument/2006/relationships/hyperlink" Target="http://ftp.sac.sk/sac/pack/uharc06b.zip" TargetMode="External"/><Relationship Id="rId338" Type="http://schemas.openxmlformats.org/officeDocument/2006/relationships/hyperlink" Target="http://nishi.dreamhosters.com/u/reflate_v0c1.rar" TargetMode="External"/><Relationship Id="rId503" Type="http://schemas.openxmlformats.org/officeDocument/2006/relationships/hyperlink" Target="http://freearc.org/" TargetMode="External"/><Relationship Id="rId545" Type="http://schemas.openxmlformats.org/officeDocument/2006/relationships/hyperlink" Target="http://www.renoise.com/" TargetMode="External"/><Relationship Id="rId587" Type="http://schemas.openxmlformats.org/officeDocument/2006/relationships/hyperlink" Target="http://www.winace.com/" TargetMode="External"/><Relationship Id="rId8" Type="http://schemas.openxmlformats.org/officeDocument/2006/relationships/hyperlink" Target="http://www.miniclip.com/" TargetMode="External"/><Relationship Id="rId142" Type="http://schemas.openxmlformats.org/officeDocument/2006/relationships/hyperlink" Target="http://www.emit.jp/dgca/dgca_e.html" TargetMode="External"/><Relationship Id="rId184" Type="http://schemas.openxmlformats.org/officeDocument/2006/relationships/hyperlink" Target="http://www.7-zip.org/" TargetMode="External"/><Relationship Id="rId391" Type="http://schemas.openxmlformats.org/officeDocument/2006/relationships/hyperlink" Target="http://www.compression.ru/ds/" TargetMode="External"/><Relationship Id="rId405" Type="http://schemas.openxmlformats.org/officeDocument/2006/relationships/hyperlink" Target="http://www.compression.ru/ds/" TargetMode="External"/><Relationship Id="rId447" Type="http://schemas.openxmlformats.org/officeDocument/2006/relationships/hyperlink" Target="http://libbsc.com/" TargetMode="External"/><Relationship Id="rId612" Type="http://schemas.openxmlformats.org/officeDocument/2006/relationships/hyperlink" Target="http://mattmahoney.net/dc/text.html" TargetMode="External"/><Relationship Id="rId251" Type="http://schemas.openxmlformats.org/officeDocument/2006/relationships/hyperlink" Target="http://www.winace.com/" TargetMode="External"/><Relationship Id="rId489" Type="http://schemas.openxmlformats.org/officeDocument/2006/relationships/hyperlink" Target="http://schnaader.info/precomp.php" TargetMode="External"/><Relationship Id="rId654" Type="http://schemas.openxmlformats.org/officeDocument/2006/relationships/hyperlink" Target="http://freearc.org/" TargetMode="External"/><Relationship Id="rId46" Type="http://schemas.openxmlformats.org/officeDocument/2006/relationships/hyperlink" Target="http://www.bzip.org/" TargetMode="External"/><Relationship Id="rId293" Type="http://schemas.openxmlformats.org/officeDocument/2006/relationships/hyperlink" Target="http://ftp.sac.sk/sac/pack/uharc06b.zip" TargetMode="External"/><Relationship Id="rId307" Type="http://schemas.openxmlformats.org/officeDocument/2006/relationships/hyperlink" Target="http://mattmahoney.net/dc/text.html" TargetMode="External"/><Relationship Id="rId349" Type="http://schemas.openxmlformats.org/officeDocument/2006/relationships/hyperlink" Target="http://nishi.dreamhosters.com/u/reflate_v0c1.rar" TargetMode="External"/><Relationship Id="rId514" Type="http://schemas.openxmlformats.org/officeDocument/2006/relationships/hyperlink" Target="http://heartofcomp.altervista.org/zcm.zip" TargetMode="External"/><Relationship Id="rId556" Type="http://schemas.openxmlformats.org/officeDocument/2006/relationships/hyperlink" Target="http://www.madtracker.org/" TargetMode="External"/><Relationship Id="rId88" Type="http://schemas.openxmlformats.org/officeDocument/2006/relationships/hyperlink" Target="http://heartofcomp.altervista.org/zcm.zip" TargetMode="External"/><Relationship Id="rId111" Type="http://schemas.openxmlformats.org/officeDocument/2006/relationships/hyperlink" Target="http://www.rarlabs.com/" TargetMode="External"/><Relationship Id="rId153" Type="http://schemas.openxmlformats.org/officeDocument/2006/relationships/hyperlink" Target="http://www.emit.jp/dgca/dgca_e.html" TargetMode="External"/><Relationship Id="rId195" Type="http://schemas.openxmlformats.org/officeDocument/2006/relationships/hyperlink" Target="http://www.nanozip.net/" TargetMode="External"/><Relationship Id="rId209" Type="http://schemas.openxmlformats.org/officeDocument/2006/relationships/hyperlink" Target="http://www.nanozip.net/" TargetMode="External"/><Relationship Id="rId360" Type="http://schemas.openxmlformats.org/officeDocument/2006/relationships/hyperlink" Target="http://www.mattmahoney.net/dc/text.html" TargetMode="External"/><Relationship Id="rId416" Type="http://schemas.openxmlformats.org/officeDocument/2006/relationships/hyperlink" Target="http://code.google.com/p/lzham/" TargetMode="External"/><Relationship Id="rId598" Type="http://schemas.openxmlformats.org/officeDocument/2006/relationships/hyperlink" Target="http://www.winzip.com/" TargetMode="External"/><Relationship Id="rId220" Type="http://schemas.openxmlformats.org/officeDocument/2006/relationships/hyperlink" Target="http://freearc.org/" TargetMode="External"/><Relationship Id="rId458" Type="http://schemas.openxmlformats.org/officeDocument/2006/relationships/hyperlink" Target="http://libbsc.com/" TargetMode="External"/><Relationship Id="rId623" Type="http://schemas.openxmlformats.org/officeDocument/2006/relationships/hyperlink" Target="http://www.winzip.com/" TargetMode="External"/><Relationship Id="rId665" Type="http://schemas.openxmlformats.org/officeDocument/2006/relationships/hyperlink" Target="http://www.winzip.com/" TargetMode="External"/><Relationship Id="rId15" Type="http://schemas.openxmlformats.org/officeDocument/2006/relationships/hyperlink" Target="http://www2.ati.com/drivers/linux/amd-driver-installer-12-2-x86.x86_64.run" TargetMode="External"/><Relationship Id="rId57" Type="http://schemas.openxmlformats.org/officeDocument/2006/relationships/hyperlink" Target="http://www.winzip.com/" TargetMode="External"/><Relationship Id="rId262" Type="http://schemas.openxmlformats.org/officeDocument/2006/relationships/hyperlink" Target="http://www.winace.com/" TargetMode="External"/><Relationship Id="rId318" Type="http://schemas.openxmlformats.org/officeDocument/2006/relationships/hyperlink" Target="http://mattmahoney.net/dc/text.html" TargetMode="External"/><Relationship Id="rId525" Type="http://schemas.openxmlformats.org/officeDocument/2006/relationships/hyperlink" Target="http://www.compression.ru/ds/" TargetMode="External"/><Relationship Id="rId567" Type="http://schemas.openxmlformats.org/officeDocument/2006/relationships/hyperlink" Target="http://www.7-zip.org/" TargetMode="External"/><Relationship Id="rId99" Type="http://schemas.openxmlformats.org/officeDocument/2006/relationships/hyperlink" Target="http://heartofcomp.altervista.org/zcm.zip" TargetMode="External"/><Relationship Id="rId122" Type="http://schemas.openxmlformats.org/officeDocument/2006/relationships/hyperlink" Target="http://www.rarlabs.com/" TargetMode="External"/><Relationship Id="rId164" Type="http://schemas.openxmlformats.org/officeDocument/2006/relationships/hyperlink" Target="http://www.7-zip.org/" TargetMode="External"/><Relationship Id="rId371" Type="http://schemas.openxmlformats.org/officeDocument/2006/relationships/hyperlink" Target="http://www.mattmahoney.net/dc/text.html" TargetMode="External"/><Relationship Id="rId427" Type="http://schemas.openxmlformats.org/officeDocument/2006/relationships/hyperlink" Target="http://code.google.com/p/lzham/" TargetMode="External"/><Relationship Id="rId469" Type="http://schemas.openxmlformats.org/officeDocument/2006/relationships/hyperlink" Target="http://schnaader.info/precomp.php" TargetMode="External"/><Relationship Id="rId634" Type="http://schemas.openxmlformats.org/officeDocument/2006/relationships/hyperlink" Target="http://www.mattmahoney.net/dc/text.html" TargetMode="External"/><Relationship Id="rId676" Type="http://schemas.openxmlformats.org/officeDocument/2006/relationships/hyperlink" Target="http://ftp.sac.sk/sac/pack/uharc06b.zip" TargetMode="External"/><Relationship Id="rId26" Type="http://schemas.openxmlformats.org/officeDocument/2006/relationships/hyperlink" Target="http://www.bzip.org/" TargetMode="External"/><Relationship Id="rId231" Type="http://schemas.openxmlformats.org/officeDocument/2006/relationships/hyperlink" Target="http://freearc.org/" TargetMode="External"/><Relationship Id="rId273" Type="http://schemas.openxmlformats.org/officeDocument/2006/relationships/hyperlink" Target="http://www.winace.com/" TargetMode="External"/><Relationship Id="rId329" Type="http://schemas.openxmlformats.org/officeDocument/2006/relationships/hyperlink" Target="http://mattmahoney.net/dc/text.html" TargetMode="External"/><Relationship Id="rId480" Type="http://schemas.openxmlformats.org/officeDocument/2006/relationships/hyperlink" Target="http://schnaader.info/precomp.php" TargetMode="External"/><Relationship Id="rId536" Type="http://schemas.openxmlformats.org/officeDocument/2006/relationships/hyperlink" Target="http://www.winace.com/" TargetMode="External"/><Relationship Id="rId68" Type="http://schemas.openxmlformats.org/officeDocument/2006/relationships/hyperlink" Target="http://www.winzip.com/" TargetMode="External"/><Relationship Id="rId133" Type="http://schemas.openxmlformats.org/officeDocument/2006/relationships/hyperlink" Target="http://www.rarlabs.com/" TargetMode="External"/><Relationship Id="rId175" Type="http://schemas.openxmlformats.org/officeDocument/2006/relationships/hyperlink" Target="http://www.7-zip.org/" TargetMode="External"/><Relationship Id="rId340" Type="http://schemas.openxmlformats.org/officeDocument/2006/relationships/hyperlink" Target="http://nishi.dreamhosters.com/u/reflate_v0c1.rar" TargetMode="External"/><Relationship Id="rId578" Type="http://schemas.openxmlformats.org/officeDocument/2006/relationships/hyperlink" Target="http://schnaader.info/precomp.php" TargetMode="External"/><Relationship Id="rId200" Type="http://schemas.openxmlformats.org/officeDocument/2006/relationships/hyperlink" Target="http://www.nanozip.net/" TargetMode="External"/><Relationship Id="rId382" Type="http://schemas.openxmlformats.org/officeDocument/2006/relationships/hyperlink" Target="http://www.mattmahoney.net/dc/text.html" TargetMode="External"/><Relationship Id="rId438" Type="http://schemas.openxmlformats.org/officeDocument/2006/relationships/hyperlink" Target="http://code.google.com/p/lzham/" TargetMode="External"/><Relationship Id="rId603" Type="http://schemas.openxmlformats.org/officeDocument/2006/relationships/hyperlink" Target="http://www.winzip.com/" TargetMode="External"/><Relationship Id="rId645" Type="http://schemas.openxmlformats.org/officeDocument/2006/relationships/hyperlink" Target="http://www.csl.cornell.edu/~burtscher/research/FPC/datasets.html" TargetMode="External"/><Relationship Id="rId687" Type="http://schemas.openxmlformats.org/officeDocument/2006/relationships/hyperlink" Target="http://img.photographyblog.com/reviews/olympus_epm2/sample_images/olympus_epm2_16.orf" TargetMode="External"/><Relationship Id="rId242" Type="http://schemas.openxmlformats.org/officeDocument/2006/relationships/hyperlink" Target="http://freearc.org/" TargetMode="External"/><Relationship Id="rId284" Type="http://schemas.openxmlformats.org/officeDocument/2006/relationships/hyperlink" Target="http://ftp.sac.sk/sac/pack/uharc06b.zip" TargetMode="External"/><Relationship Id="rId491" Type="http://schemas.openxmlformats.org/officeDocument/2006/relationships/hyperlink" Target="http://schnaader.info/precomp.php" TargetMode="External"/><Relationship Id="rId505" Type="http://schemas.openxmlformats.org/officeDocument/2006/relationships/hyperlink" Target="http://ftp.sac.sk/sac/pack/uharc06b.zip" TargetMode="External"/><Relationship Id="rId37" Type="http://schemas.openxmlformats.org/officeDocument/2006/relationships/hyperlink" Target="http://www.bzip.org/" TargetMode="External"/><Relationship Id="rId79" Type="http://schemas.openxmlformats.org/officeDocument/2006/relationships/hyperlink" Target="http://www.winzip.com/" TargetMode="External"/><Relationship Id="rId102" Type="http://schemas.openxmlformats.org/officeDocument/2006/relationships/hyperlink" Target="http://heartofcomp.altervista.org/zcm.zip" TargetMode="External"/><Relationship Id="rId144" Type="http://schemas.openxmlformats.org/officeDocument/2006/relationships/hyperlink" Target="http://www.emit.jp/dgca/dgca_e.html" TargetMode="External"/><Relationship Id="rId547" Type="http://schemas.openxmlformats.org/officeDocument/2006/relationships/hyperlink" Target="http://www.renoise.com/" TargetMode="External"/><Relationship Id="rId589" Type="http://schemas.openxmlformats.org/officeDocument/2006/relationships/hyperlink" Target="http://mattmahoney.net/dc/text.html" TargetMode="External"/><Relationship Id="rId90" Type="http://schemas.openxmlformats.org/officeDocument/2006/relationships/hyperlink" Target="http://heartofcomp.altervista.org/zcm.zip" TargetMode="External"/><Relationship Id="rId186" Type="http://schemas.openxmlformats.org/officeDocument/2006/relationships/hyperlink" Target="http://www.7-zip.org/" TargetMode="External"/><Relationship Id="rId351" Type="http://schemas.openxmlformats.org/officeDocument/2006/relationships/hyperlink" Target="http://nishi.dreamhosters.com/u/reflate_v0c1.rar" TargetMode="External"/><Relationship Id="rId393" Type="http://schemas.openxmlformats.org/officeDocument/2006/relationships/hyperlink" Target="http://www.compression.ru/ds/" TargetMode="External"/><Relationship Id="rId407" Type="http://schemas.openxmlformats.org/officeDocument/2006/relationships/hyperlink" Target="http://www.compression.ru/ds/" TargetMode="External"/><Relationship Id="rId449" Type="http://schemas.openxmlformats.org/officeDocument/2006/relationships/hyperlink" Target="http://libbsc.com/" TargetMode="External"/><Relationship Id="rId614" Type="http://schemas.openxmlformats.org/officeDocument/2006/relationships/hyperlink" Target="http://www.mattmahoney.net/dc/text.html" TargetMode="External"/><Relationship Id="rId656" Type="http://schemas.openxmlformats.org/officeDocument/2006/relationships/hyperlink" Target="http://ftp.sac.sk/sac/pack/uharc06b.zip" TargetMode="External"/><Relationship Id="rId211" Type="http://schemas.openxmlformats.org/officeDocument/2006/relationships/hyperlink" Target="http://www.nanozip.net/" TargetMode="External"/><Relationship Id="rId253" Type="http://schemas.openxmlformats.org/officeDocument/2006/relationships/hyperlink" Target="http://www.winace.com/" TargetMode="External"/><Relationship Id="rId295" Type="http://schemas.openxmlformats.org/officeDocument/2006/relationships/hyperlink" Target="http://ftp.sac.sk/sac/pack/uharc06b.zip" TargetMode="External"/><Relationship Id="rId309" Type="http://schemas.openxmlformats.org/officeDocument/2006/relationships/hyperlink" Target="http://mattmahoney.net/dc/text.html" TargetMode="External"/><Relationship Id="rId460" Type="http://schemas.openxmlformats.org/officeDocument/2006/relationships/hyperlink" Target="http://libbsc.com/" TargetMode="External"/><Relationship Id="rId516" Type="http://schemas.openxmlformats.org/officeDocument/2006/relationships/hyperlink" Target="http://www.emit.jp/dgca/dgca_e.html" TargetMode="External"/><Relationship Id="rId48" Type="http://schemas.openxmlformats.org/officeDocument/2006/relationships/hyperlink" Target="http://www.bzip.org/" TargetMode="External"/><Relationship Id="rId113" Type="http://schemas.openxmlformats.org/officeDocument/2006/relationships/hyperlink" Target="http://www.rarlabs.com/" TargetMode="External"/><Relationship Id="rId320" Type="http://schemas.openxmlformats.org/officeDocument/2006/relationships/hyperlink" Target="http://mattmahoney.net/dc/text.html" TargetMode="External"/><Relationship Id="rId558" Type="http://schemas.openxmlformats.org/officeDocument/2006/relationships/hyperlink" Target="http://www.un4seen.com/mo3.html" TargetMode="External"/><Relationship Id="rId155" Type="http://schemas.openxmlformats.org/officeDocument/2006/relationships/hyperlink" Target="http://www.emit.jp/dgca/dgca_e.html" TargetMode="External"/><Relationship Id="rId197" Type="http://schemas.openxmlformats.org/officeDocument/2006/relationships/hyperlink" Target="http://www.nanozip.net/" TargetMode="External"/><Relationship Id="rId362" Type="http://schemas.openxmlformats.org/officeDocument/2006/relationships/hyperlink" Target="http://www.mattmahoney.net/dc/text.html" TargetMode="External"/><Relationship Id="rId418" Type="http://schemas.openxmlformats.org/officeDocument/2006/relationships/hyperlink" Target="http://code.google.com/p/lzham/" TargetMode="External"/><Relationship Id="rId625" Type="http://schemas.openxmlformats.org/officeDocument/2006/relationships/hyperlink" Target="http://www.rarlabs.com/" TargetMode="External"/><Relationship Id="rId222" Type="http://schemas.openxmlformats.org/officeDocument/2006/relationships/hyperlink" Target="http://freearc.org/" TargetMode="External"/><Relationship Id="rId264" Type="http://schemas.openxmlformats.org/officeDocument/2006/relationships/hyperlink" Target="http://www.winace.com/" TargetMode="External"/><Relationship Id="rId471" Type="http://schemas.openxmlformats.org/officeDocument/2006/relationships/hyperlink" Target="http://schnaader.info/precomp.php" TargetMode="External"/><Relationship Id="rId667" Type="http://schemas.openxmlformats.org/officeDocument/2006/relationships/hyperlink" Target="http://www.bzip.org/" TargetMode="External"/><Relationship Id="rId17" Type="http://schemas.openxmlformats.org/officeDocument/2006/relationships/hyperlink" Target="http://rawtherapee.com/releases_head/windows/RawTherapee_WinVista_64_4.0.7.1.zip" TargetMode="External"/><Relationship Id="rId59" Type="http://schemas.openxmlformats.org/officeDocument/2006/relationships/hyperlink" Target="http://www.winzip.com/" TargetMode="External"/><Relationship Id="rId124" Type="http://schemas.openxmlformats.org/officeDocument/2006/relationships/hyperlink" Target="http://www.rarlabs.com/" TargetMode="External"/><Relationship Id="rId527" Type="http://schemas.openxmlformats.org/officeDocument/2006/relationships/hyperlink" Target="http://libbsc.com/" TargetMode="External"/><Relationship Id="rId569" Type="http://schemas.openxmlformats.org/officeDocument/2006/relationships/hyperlink" Target="http://freearc.org/" TargetMode="External"/><Relationship Id="rId70" Type="http://schemas.openxmlformats.org/officeDocument/2006/relationships/hyperlink" Target="http://www.winzip.com/" TargetMode="External"/><Relationship Id="rId166" Type="http://schemas.openxmlformats.org/officeDocument/2006/relationships/hyperlink" Target="http://www.7-zip.org/" TargetMode="External"/><Relationship Id="rId331" Type="http://schemas.openxmlformats.org/officeDocument/2006/relationships/hyperlink" Target="http://nishi.dreamhosters.com/u/reflate_v0c1.rar" TargetMode="External"/><Relationship Id="rId373" Type="http://schemas.openxmlformats.org/officeDocument/2006/relationships/hyperlink" Target="http://www.mattmahoney.net/dc/text.html" TargetMode="External"/><Relationship Id="rId429" Type="http://schemas.openxmlformats.org/officeDocument/2006/relationships/hyperlink" Target="http://code.google.com/p/lzham/" TargetMode="External"/><Relationship Id="rId580" Type="http://schemas.openxmlformats.org/officeDocument/2006/relationships/hyperlink" Target="http://www.winzip.com/" TargetMode="External"/><Relationship Id="rId636" Type="http://schemas.openxmlformats.org/officeDocument/2006/relationships/hyperlink" Target="http://code.google.com/p/lzham/" TargetMode="External"/><Relationship Id="rId1" Type="http://schemas.openxmlformats.org/officeDocument/2006/relationships/hyperlink" Target="http://www.squeezechart.com/mp3corpus.7z" TargetMode="External"/><Relationship Id="rId233" Type="http://schemas.openxmlformats.org/officeDocument/2006/relationships/hyperlink" Target="http://freearc.org/" TargetMode="External"/><Relationship Id="rId440" Type="http://schemas.openxmlformats.org/officeDocument/2006/relationships/hyperlink" Target="http://libbsc.com/" TargetMode="External"/><Relationship Id="rId678" Type="http://schemas.openxmlformats.org/officeDocument/2006/relationships/hyperlink" Target="http://nishi.dreamhosters.com/u/reflate_v0c1.rar" TargetMode="External"/><Relationship Id="rId28" Type="http://schemas.openxmlformats.org/officeDocument/2006/relationships/hyperlink" Target="http://www.bzip.org/" TargetMode="External"/><Relationship Id="rId275" Type="http://schemas.openxmlformats.org/officeDocument/2006/relationships/hyperlink" Target="http://www.winace.com/" TargetMode="External"/><Relationship Id="rId300" Type="http://schemas.openxmlformats.org/officeDocument/2006/relationships/hyperlink" Target="http://ftp.sac.sk/sac/pack/uharc06b.zip" TargetMode="External"/><Relationship Id="rId482" Type="http://schemas.openxmlformats.org/officeDocument/2006/relationships/hyperlink" Target="http://schnaader.info/precomp.php" TargetMode="External"/><Relationship Id="rId538" Type="http://schemas.openxmlformats.org/officeDocument/2006/relationships/hyperlink" Target="http://mattmahoney.net/dc/text.html" TargetMode="External"/><Relationship Id="rId81" Type="http://schemas.openxmlformats.org/officeDocument/2006/relationships/hyperlink" Target="http://heartofcomp.altervista.org/zcm.zip" TargetMode="External"/><Relationship Id="rId135" Type="http://schemas.openxmlformats.org/officeDocument/2006/relationships/hyperlink" Target="http://www.rarlabs.com/" TargetMode="External"/><Relationship Id="rId177" Type="http://schemas.openxmlformats.org/officeDocument/2006/relationships/hyperlink" Target="http://www.7-zip.org/" TargetMode="External"/><Relationship Id="rId342" Type="http://schemas.openxmlformats.org/officeDocument/2006/relationships/hyperlink" Target="http://nishi.dreamhosters.com/u/reflate_v0c1.rar" TargetMode="External"/><Relationship Id="rId384" Type="http://schemas.openxmlformats.org/officeDocument/2006/relationships/hyperlink" Target="http://www.compression.ru/ds/" TargetMode="External"/><Relationship Id="rId591" Type="http://schemas.openxmlformats.org/officeDocument/2006/relationships/hyperlink" Target="http://www.mattmahoney.net/dc/text.html" TargetMode="External"/><Relationship Id="rId605" Type="http://schemas.openxmlformats.org/officeDocument/2006/relationships/hyperlink" Target="http://www.rarlabs.com/" TargetMode="External"/><Relationship Id="rId202" Type="http://schemas.openxmlformats.org/officeDocument/2006/relationships/hyperlink" Target="http://www.nanozip.net/" TargetMode="External"/><Relationship Id="rId244" Type="http://schemas.openxmlformats.org/officeDocument/2006/relationships/hyperlink" Target="http://freearc.org/" TargetMode="External"/><Relationship Id="rId647" Type="http://schemas.openxmlformats.org/officeDocument/2006/relationships/hyperlink" Target="http://www.bzip.org/" TargetMode="External"/><Relationship Id="rId689" Type="http://schemas.openxmlformats.org/officeDocument/2006/relationships/printerSettings" Target="../printerSettings/printerSettings6.bin"/><Relationship Id="rId39" Type="http://schemas.openxmlformats.org/officeDocument/2006/relationships/hyperlink" Target="http://www.bzip.org/" TargetMode="External"/><Relationship Id="rId286" Type="http://schemas.openxmlformats.org/officeDocument/2006/relationships/hyperlink" Target="http://ftp.sac.sk/sac/pack/uharc06b.zip" TargetMode="External"/><Relationship Id="rId451" Type="http://schemas.openxmlformats.org/officeDocument/2006/relationships/hyperlink" Target="http://libbsc.com/" TargetMode="External"/><Relationship Id="rId493" Type="http://schemas.openxmlformats.org/officeDocument/2006/relationships/hyperlink" Target="http://schnaader.info/precomp.php" TargetMode="External"/><Relationship Id="rId507" Type="http://schemas.openxmlformats.org/officeDocument/2006/relationships/hyperlink" Target="http://nishi.dreamhosters.com/u/reflate_v0c1.rar" TargetMode="External"/><Relationship Id="rId549" Type="http://schemas.openxmlformats.org/officeDocument/2006/relationships/hyperlink" Target="http://psycle.pastnotecut.org/portal.php" TargetMode="External"/><Relationship Id="rId50" Type="http://schemas.openxmlformats.org/officeDocument/2006/relationships/hyperlink" Target="http://www.bzip.org/" TargetMode="External"/><Relationship Id="rId104" Type="http://schemas.openxmlformats.org/officeDocument/2006/relationships/hyperlink" Target="http://heartofcomp.altervista.org/zcm.zip" TargetMode="External"/><Relationship Id="rId146" Type="http://schemas.openxmlformats.org/officeDocument/2006/relationships/hyperlink" Target="http://www.emit.jp/dgca/dgca_e.html" TargetMode="External"/><Relationship Id="rId188" Type="http://schemas.openxmlformats.org/officeDocument/2006/relationships/hyperlink" Target="http://www.7-zip.org/" TargetMode="External"/><Relationship Id="rId311" Type="http://schemas.openxmlformats.org/officeDocument/2006/relationships/hyperlink" Target="http://mattmahoney.net/dc/text.html" TargetMode="External"/><Relationship Id="rId353" Type="http://schemas.openxmlformats.org/officeDocument/2006/relationships/hyperlink" Target="http://nishi.dreamhosters.com/u/reflate_v0c1.rar" TargetMode="External"/><Relationship Id="rId395" Type="http://schemas.openxmlformats.org/officeDocument/2006/relationships/hyperlink" Target="http://www.compression.ru/ds/" TargetMode="External"/><Relationship Id="rId409" Type="http://schemas.openxmlformats.org/officeDocument/2006/relationships/hyperlink" Target="http://www.compression.ru/ds/" TargetMode="External"/><Relationship Id="rId560" Type="http://schemas.openxmlformats.org/officeDocument/2006/relationships/hyperlink" Target="http://www.un4seen.com/mo3.html" TargetMode="External"/><Relationship Id="rId92" Type="http://schemas.openxmlformats.org/officeDocument/2006/relationships/hyperlink" Target="http://heartofcomp.altervista.org/zcm.zip" TargetMode="External"/><Relationship Id="rId213" Type="http://schemas.openxmlformats.org/officeDocument/2006/relationships/hyperlink" Target="http://www.nanozip.net/" TargetMode="External"/><Relationship Id="rId420" Type="http://schemas.openxmlformats.org/officeDocument/2006/relationships/hyperlink" Target="http://code.google.com/p/lzham/" TargetMode="External"/><Relationship Id="rId616" Type="http://schemas.openxmlformats.org/officeDocument/2006/relationships/hyperlink" Target="http://code.google.com/p/lzham/" TargetMode="External"/><Relationship Id="rId658" Type="http://schemas.openxmlformats.org/officeDocument/2006/relationships/hyperlink" Target="http://nishi.dreamhosters.com/u/reflate_v0c1.rar" TargetMode="External"/><Relationship Id="rId255" Type="http://schemas.openxmlformats.org/officeDocument/2006/relationships/hyperlink" Target="http://www.winace.com/" TargetMode="External"/><Relationship Id="rId297" Type="http://schemas.openxmlformats.org/officeDocument/2006/relationships/hyperlink" Target="http://ftp.sac.sk/sac/pack/uharc06b.zip" TargetMode="External"/><Relationship Id="rId462" Type="http://schemas.openxmlformats.org/officeDocument/2006/relationships/hyperlink" Target="http://libbsc.com/" TargetMode="External"/><Relationship Id="rId518" Type="http://schemas.openxmlformats.org/officeDocument/2006/relationships/hyperlink" Target="http://www.nanozip.net/" TargetMode="External"/><Relationship Id="rId115" Type="http://schemas.openxmlformats.org/officeDocument/2006/relationships/hyperlink" Target="http://www.rarlabs.com/" TargetMode="External"/><Relationship Id="rId157" Type="http://schemas.openxmlformats.org/officeDocument/2006/relationships/hyperlink" Target="http://www.emit.jp/dgca/dgca_e.html" TargetMode="External"/><Relationship Id="rId322" Type="http://schemas.openxmlformats.org/officeDocument/2006/relationships/hyperlink" Target="http://mattmahoney.net/dc/text.html" TargetMode="External"/><Relationship Id="rId364" Type="http://schemas.openxmlformats.org/officeDocument/2006/relationships/hyperlink" Target="http://www.mattmahoney.net/dc/text.html" TargetMode="External"/><Relationship Id="rId61" Type="http://schemas.openxmlformats.org/officeDocument/2006/relationships/hyperlink" Target="http://www.winzip.com/" TargetMode="External"/><Relationship Id="rId199" Type="http://schemas.openxmlformats.org/officeDocument/2006/relationships/hyperlink" Target="http://www.nanozip.net/" TargetMode="External"/><Relationship Id="rId571" Type="http://schemas.openxmlformats.org/officeDocument/2006/relationships/hyperlink" Target="http://ftp.sac.sk/sac/pack/uharc06b.zip" TargetMode="External"/><Relationship Id="rId627" Type="http://schemas.openxmlformats.org/officeDocument/2006/relationships/hyperlink" Target="http://www.7-zip.org/" TargetMode="External"/><Relationship Id="rId669" Type="http://schemas.openxmlformats.org/officeDocument/2006/relationships/hyperlink" Target="http://heartofcomp.altervista.org/zcm.zip" TargetMode="External"/><Relationship Id="rId19" Type="http://schemas.openxmlformats.org/officeDocument/2006/relationships/hyperlink" Target="http://www.diatonis.com/downloads/diatonis_currents_44_51.wma" TargetMode="External"/><Relationship Id="rId224" Type="http://schemas.openxmlformats.org/officeDocument/2006/relationships/hyperlink" Target="http://freearc.org/" TargetMode="External"/><Relationship Id="rId266" Type="http://schemas.openxmlformats.org/officeDocument/2006/relationships/hyperlink" Target="http://www.winace.com/" TargetMode="External"/><Relationship Id="rId431" Type="http://schemas.openxmlformats.org/officeDocument/2006/relationships/hyperlink" Target="http://code.google.com/p/lzham/" TargetMode="External"/><Relationship Id="rId473" Type="http://schemas.openxmlformats.org/officeDocument/2006/relationships/hyperlink" Target="http://schnaader.info/precomp.php" TargetMode="External"/><Relationship Id="rId529" Type="http://schemas.openxmlformats.org/officeDocument/2006/relationships/hyperlink" Target="http://www.winzip.com/" TargetMode="External"/><Relationship Id="rId680" Type="http://schemas.openxmlformats.org/officeDocument/2006/relationships/hyperlink" Target="http://www.compression.ru/ds/" TargetMode="External"/><Relationship Id="rId30" Type="http://schemas.openxmlformats.org/officeDocument/2006/relationships/hyperlink" Target="http://www.bzip.org/" TargetMode="External"/><Relationship Id="rId126" Type="http://schemas.openxmlformats.org/officeDocument/2006/relationships/hyperlink" Target="http://www.rarlabs.com/" TargetMode="External"/><Relationship Id="rId168" Type="http://schemas.openxmlformats.org/officeDocument/2006/relationships/hyperlink" Target="http://www.7-zip.org/" TargetMode="External"/><Relationship Id="rId333" Type="http://schemas.openxmlformats.org/officeDocument/2006/relationships/hyperlink" Target="http://ftp.sac.sk/sac/pack/uharc06b.zip" TargetMode="External"/><Relationship Id="rId540" Type="http://schemas.openxmlformats.org/officeDocument/2006/relationships/hyperlink" Target="http://www.mattmahoney.net/dc/text.html" TargetMode="External"/><Relationship Id="rId72" Type="http://schemas.openxmlformats.org/officeDocument/2006/relationships/hyperlink" Target="http://www.winzip.com/" TargetMode="External"/><Relationship Id="rId375" Type="http://schemas.openxmlformats.org/officeDocument/2006/relationships/hyperlink" Target="http://www.mattmahoney.net/dc/text.html" TargetMode="External"/><Relationship Id="rId582" Type="http://schemas.openxmlformats.org/officeDocument/2006/relationships/hyperlink" Target="http://www.rarlabs.com/" TargetMode="External"/><Relationship Id="rId638" Type="http://schemas.openxmlformats.org/officeDocument/2006/relationships/hyperlink" Target="http://schnaader.info/precomp.php" TargetMode="External"/><Relationship Id="rId3" Type="http://schemas.openxmlformats.org/officeDocument/2006/relationships/hyperlink" Target="http://samples.mplayerhq.hu/Matroska/H264%2bEAC3.mkv" TargetMode="External"/><Relationship Id="rId235" Type="http://schemas.openxmlformats.org/officeDocument/2006/relationships/hyperlink" Target="http://freearc.org/" TargetMode="External"/><Relationship Id="rId277" Type="http://schemas.openxmlformats.org/officeDocument/2006/relationships/hyperlink" Target="http://ftp.sac.sk/sac/pack/uharc06b.zip" TargetMode="External"/><Relationship Id="rId400" Type="http://schemas.openxmlformats.org/officeDocument/2006/relationships/hyperlink" Target="http://www.compression.ru/ds/" TargetMode="External"/><Relationship Id="rId442" Type="http://schemas.openxmlformats.org/officeDocument/2006/relationships/hyperlink" Target="http://libbsc.com/" TargetMode="External"/><Relationship Id="rId484" Type="http://schemas.openxmlformats.org/officeDocument/2006/relationships/hyperlink" Target="http://schnaader.info/precomp.php" TargetMode="External"/><Relationship Id="rId137" Type="http://schemas.openxmlformats.org/officeDocument/2006/relationships/hyperlink" Target="http://www.emit.jp/dgca/dgca_e.html" TargetMode="External"/><Relationship Id="rId302" Type="http://schemas.openxmlformats.org/officeDocument/2006/relationships/hyperlink" Target="http://ftp.sac.sk/sac/pack/uharc06b.zip" TargetMode="External"/><Relationship Id="rId344" Type="http://schemas.openxmlformats.org/officeDocument/2006/relationships/hyperlink" Target="http://nishi.dreamhosters.com/u/reflate_v0c1.rar" TargetMode="External"/><Relationship Id="rId691" Type="http://schemas.openxmlformats.org/officeDocument/2006/relationships/comments" Target="../comments3.xml"/><Relationship Id="rId41" Type="http://schemas.openxmlformats.org/officeDocument/2006/relationships/hyperlink" Target="http://www.bzip.org/" TargetMode="External"/><Relationship Id="rId83" Type="http://schemas.openxmlformats.org/officeDocument/2006/relationships/hyperlink" Target="http://heartofcomp.altervista.org/zcm.zip" TargetMode="External"/><Relationship Id="rId179" Type="http://schemas.openxmlformats.org/officeDocument/2006/relationships/hyperlink" Target="http://www.7-zip.org/" TargetMode="External"/><Relationship Id="rId386" Type="http://schemas.openxmlformats.org/officeDocument/2006/relationships/hyperlink" Target="http://www.compression.ru/ds/" TargetMode="External"/><Relationship Id="rId551" Type="http://schemas.openxmlformats.org/officeDocument/2006/relationships/hyperlink" Target="http://openmpt.org/download" TargetMode="External"/><Relationship Id="rId593" Type="http://schemas.openxmlformats.org/officeDocument/2006/relationships/hyperlink" Target="http://code.google.com/p/lzham/" TargetMode="External"/><Relationship Id="rId607" Type="http://schemas.openxmlformats.org/officeDocument/2006/relationships/hyperlink" Target="http://www.7-zip.org/" TargetMode="External"/><Relationship Id="rId649" Type="http://schemas.openxmlformats.org/officeDocument/2006/relationships/hyperlink" Target="http://heartofcomp.altervista.org/zcm.zip" TargetMode="External"/><Relationship Id="rId190" Type="http://schemas.openxmlformats.org/officeDocument/2006/relationships/hyperlink" Target="http://www.7-zip.org/" TargetMode="External"/><Relationship Id="rId204" Type="http://schemas.openxmlformats.org/officeDocument/2006/relationships/hyperlink" Target="http://www.nanozip.net/" TargetMode="External"/><Relationship Id="rId246" Type="http://schemas.openxmlformats.org/officeDocument/2006/relationships/hyperlink" Target="http://freearc.org/" TargetMode="External"/><Relationship Id="rId288" Type="http://schemas.openxmlformats.org/officeDocument/2006/relationships/hyperlink" Target="http://ftp.sac.sk/sac/pack/uharc06b.zip" TargetMode="External"/><Relationship Id="rId411" Type="http://schemas.openxmlformats.org/officeDocument/2006/relationships/hyperlink" Target="http://www.compression.ru/ds/" TargetMode="External"/><Relationship Id="rId453" Type="http://schemas.openxmlformats.org/officeDocument/2006/relationships/hyperlink" Target="http://libbsc.com/" TargetMode="External"/><Relationship Id="rId509" Type="http://schemas.openxmlformats.org/officeDocument/2006/relationships/hyperlink" Target="http://www.compression.ru/ds/" TargetMode="External"/><Relationship Id="rId660" Type="http://schemas.openxmlformats.org/officeDocument/2006/relationships/hyperlink" Target="http://www.compression.ru/ds/" TargetMode="External"/><Relationship Id="rId106" Type="http://schemas.openxmlformats.org/officeDocument/2006/relationships/hyperlink" Target="http://heartofcomp.altervista.org/zcm.zip" TargetMode="External"/><Relationship Id="rId313" Type="http://schemas.openxmlformats.org/officeDocument/2006/relationships/hyperlink" Target="http://mattmahoney.net/dc/text.html" TargetMode="External"/><Relationship Id="rId495" Type="http://schemas.openxmlformats.org/officeDocument/2006/relationships/hyperlink" Target="http://schnaader.info/precomp.php" TargetMode="External"/><Relationship Id="rId10" Type="http://schemas.openxmlformats.org/officeDocument/2006/relationships/hyperlink" Target="http://www.squeezechart.com/flyer.msg" TargetMode="External"/><Relationship Id="rId52" Type="http://schemas.openxmlformats.org/officeDocument/2006/relationships/hyperlink" Target="http://www.winzip.com/" TargetMode="External"/><Relationship Id="rId94" Type="http://schemas.openxmlformats.org/officeDocument/2006/relationships/hyperlink" Target="http://heartofcomp.altervista.org/zcm.zip" TargetMode="External"/><Relationship Id="rId148" Type="http://schemas.openxmlformats.org/officeDocument/2006/relationships/hyperlink" Target="http://www.emit.jp/dgca/dgca_e.html" TargetMode="External"/><Relationship Id="rId355" Type="http://schemas.openxmlformats.org/officeDocument/2006/relationships/hyperlink" Target="http://nishi.dreamhosters.com/u/reflate_v0c1.rar" TargetMode="External"/><Relationship Id="rId397" Type="http://schemas.openxmlformats.org/officeDocument/2006/relationships/hyperlink" Target="http://www.compression.ru/ds/" TargetMode="External"/><Relationship Id="rId520" Type="http://schemas.openxmlformats.org/officeDocument/2006/relationships/hyperlink" Target="http://www.winace.com/" TargetMode="External"/><Relationship Id="rId562" Type="http://schemas.openxmlformats.org/officeDocument/2006/relationships/hyperlink" Target="http://www.bzip.org/" TargetMode="External"/><Relationship Id="rId618" Type="http://schemas.openxmlformats.org/officeDocument/2006/relationships/hyperlink" Target="http://schnaader.info/precomp.php" TargetMode="External"/><Relationship Id="rId215" Type="http://schemas.openxmlformats.org/officeDocument/2006/relationships/hyperlink" Target="http://www.nanozip.net/" TargetMode="External"/><Relationship Id="rId257" Type="http://schemas.openxmlformats.org/officeDocument/2006/relationships/hyperlink" Target="http://www.winace.com/" TargetMode="External"/><Relationship Id="rId422" Type="http://schemas.openxmlformats.org/officeDocument/2006/relationships/hyperlink" Target="http://code.google.com/p/lzham/" TargetMode="External"/><Relationship Id="rId464" Type="http://schemas.openxmlformats.org/officeDocument/2006/relationships/hyperlink" Target="http://libbsc.com/" TargetMode="External"/><Relationship Id="rId299" Type="http://schemas.openxmlformats.org/officeDocument/2006/relationships/hyperlink" Target="http://ftp.sac.sk/sac/pack/uharc06b.zip" TargetMode="External"/><Relationship Id="rId63" Type="http://schemas.openxmlformats.org/officeDocument/2006/relationships/hyperlink" Target="http://www.winzip.com/" TargetMode="External"/><Relationship Id="rId159" Type="http://schemas.openxmlformats.org/officeDocument/2006/relationships/hyperlink" Target="http://www.emit.jp/dgca/dgca_e.html" TargetMode="External"/><Relationship Id="rId366" Type="http://schemas.openxmlformats.org/officeDocument/2006/relationships/hyperlink" Target="http://www.mattmahoney.net/dc/text.html" TargetMode="External"/><Relationship Id="rId573" Type="http://schemas.openxmlformats.org/officeDocument/2006/relationships/hyperlink" Target="http://nishi.dreamhosters.com/u/reflate_v0c1.rar" TargetMode="External"/><Relationship Id="rId226" Type="http://schemas.openxmlformats.org/officeDocument/2006/relationships/hyperlink" Target="http://freearc.org/" TargetMode="External"/><Relationship Id="rId433" Type="http://schemas.openxmlformats.org/officeDocument/2006/relationships/hyperlink" Target="http://code.google.com/p/lzham/" TargetMode="External"/><Relationship Id="rId640" Type="http://schemas.openxmlformats.org/officeDocument/2006/relationships/hyperlink" Target="http://www.winzip.com/" TargetMode="External"/><Relationship Id="rId74" Type="http://schemas.openxmlformats.org/officeDocument/2006/relationships/hyperlink" Target="http://www.winzip.com/" TargetMode="External"/><Relationship Id="rId377" Type="http://schemas.openxmlformats.org/officeDocument/2006/relationships/hyperlink" Target="http://www.mattmahoney.net/dc/text.html" TargetMode="External"/><Relationship Id="rId500" Type="http://schemas.openxmlformats.org/officeDocument/2006/relationships/hyperlink" Target="http://www.emit.jp/dgca/dgca_e.html" TargetMode="External"/><Relationship Id="rId584" Type="http://schemas.openxmlformats.org/officeDocument/2006/relationships/hyperlink" Target="http://www.7-zip.org/" TargetMode="External"/><Relationship Id="rId5" Type="http://schemas.openxmlformats.org/officeDocument/2006/relationships/hyperlink" Target="http://www.squeezechart.com/a55.flv" TargetMode="External"/><Relationship Id="rId237" Type="http://schemas.openxmlformats.org/officeDocument/2006/relationships/hyperlink" Target="http://freearc.org/" TargetMode="External"/><Relationship Id="rId444" Type="http://schemas.openxmlformats.org/officeDocument/2006/relationships/hyperlink" Target="http://libbsc.com/" TargetMode="External"/><Relationship Id="rId651" Type="http://schemas.openxmlformats.org/officeDocument/2006/relationships/hyperlink" Target="http://www.emit.jp/dgca/dgca_e.html" TargetMode="External"/><Relationship Id="rId290" Type="http://schemas.openxmlformats.org/officeDocument/2006/relationships/hyperlink" Target="http://ftp.sac.sk/sac/pack/uharc06b.zip" TargetMode="External"/><Relationship Id="rId304" Type="http://schemas.openxmlformats.org/officeDocument/2006/relationships/hyperlink" Target="http://mattmahoney.net/dc/text.html" TargetMode="External"/><Relationship Id="rId388" Type="http://schemas.openxmlformats.org/officeDocument/2006/relationships/hyperlink" Target="http://www.compression.ru/ds/" TargetMode="External"/><Relationship Id="rId511" Type="http://schemas.openxmlformats.org/officeDocument/2006/relationships/hyperlink" Target="http://libbsc.com/" TargetMode="External"/><Relationship Id="rId609" Type="http://schemas.openxmlformats.org/officeDocument/2006/relationships/hyperlink" Target="http://freearc.org/" TargetMode="External"/><Relationship Id="rId85" Type="http://schemas.openxmlformats.org/officeDocument/2006/relationships/hyperlink" Target="http://heartofcomp.altervista.org/zcm.zip" TargetMode="External"/><Relationship Id="rId150" Type="http://schemas.openxmlformats.org/officeDocument/2006/relationships/hyperlink" Target="http://www.emit.jp/dgca/dgca_e.html" TargetMode="External"/><Relationship Id="rId595" Type="http://schemas.openxmlformats.org/officeDocument/2006/relationships/hyperlink" Target="http://schnaader.info/precomp.php" TargetMode="External"/><Relationship Id="rId248" Type="http://schemas.openxmlformats.org/officeDocument/2006/relationships/hyperlink" Target="http://www.winace.com/" TargetMode="External"/><Relationship Id="rId455" Type="http://schemas.openxmlformats.org/officeDocument/2006/relationships/hyperlink" Target="http://libbsc.com/" TargetMode="External"/><Relationship Id="rId662" Type="http://schemas.openxmlformats.org/officeDocument/2006/relationships/hyperlink" Target="http://libbsc.com/" TargetMode="External"/><Relationship Id="rId12" Type="http://schemas.openxmlformats.org/officeDocument/2006/relationships/hyperlink" Target="http://dl.maximumpc.com/Archives/MPC_2011_11-web.pdf" TargetMode="External"/><Relationship Id="rId108" Type="http://schemas.openxmlformats.org/officeDocument/2006/relationships/hyperlink" Target="http://www.rarlabs.com/" TargetMode="External"/><Relationship Id="rId315" Type="http://schemas.openxmlformats.org/officeDocument/2006/relationships/hyperlink" Target="http://mattmahoney.net/dc/text.html" TargetMode="External"/><Relationship Id="rId522" Type="http://schemas.openxmlformats.org/officeDocument/2006/relationships/hyperlink" Target="http://mattmahoney.net/dc/text.html" TargetMode="External"/><Relationship Id="rId96" Type="http://schemas.openxmlformats.org/officeDocument/2006/relationships/hyperlink" Target="http://heartofcomp.altervista.org/zcm.zip" TargetMode="External"/><Relationship Id="rId161" Type="http://schemas.openxmlformats.org/officeDocument/2006/relationships/hyperlink" Target="http://www.emit.jp/dgca/dgca_e.html" TargetMode="External"/><Relationship Id="rId399" Type="http://schemas.openxmlformats.org/officeDocument/2006/relationships/hyperlink" Target="http://www.compression.ru/ds/" TargetMode="External"/><Relationship Id="rId259" Type="http://schemas.openxmlformats.org/officeDocument/2006/relationships/hyperlink" Target="http://www.winace.com/" TargetMode="External"/><Relationship Id="rId466" Type="http://schemas.openxmlformats.org/officeDocument/2006/relationships/hyperlink" Target="http://libbsc.com/" TargetMode="External"/><Relationship Id="rId673" Type="http://schemas.openxmlformats.org/officeDocument/2006/relationships/hyperlink" Target="http://www.nanozip.net/" TargetMode="External"/><Relationship Id="rId23" Type="http://schemas.openxmlformats.org/officeDocument/2006/relationships/hyperlink" Target="http://samples.mplayerhq.hu/HDTV/Van_Helsing.ts" TargetMode="External"/><Relationship Id="rId119" Type="http://schemas.openxmlformats.org/officeDocument/2006/relationships/hyperlink" Target="http://www.rarlabs.com/" TargetMode="External"/><Relationship Id="rId326" Type="http://schemas.openxmlformats.org/officeDocument/2006/relationships/hyperlink" Target="http://mattmahoney.net/dc/text.html" TargetMode="External"/><Relationship Id="rId533" Type="http://schemas.openxmlformats.org/officeDocument/2006/relationships/hyperlink" Target="http://www.7-zip.org/" TargetMode="External"/><Relationship Id="rId172" Type="http://schemas.openxmlformats.org/officeDocument/2006/relationships/hyperlink" Target="http://www.7-zip.org/" TargetMode="External"/><Relationship Id="rId477" Type="http://schemas.openxmlformats.org/officeDocument/2006/relationships/hyperlink" Target="http://schnaader.info/precomp.php" TargetMode="External"/><Relationship Id="rId600" Type="http://schemas.openxmlformats.org/officeDocument/2006/relationships/hyperlink" Target="http://www.7-zip.org/" TargetMode="External"/><Relationship Id="rId684" Type="http://schemas.openxmlformats.org/officeDocument/2006/relationships/hyperlink" Target="http://www.rawzor.com/" TargetMode="External"/><Relationship Id="rId337" Type="http://schemas.openxmlformats.org/officeDocument/2006/relationships/hyperlink" Target="http://nishi.dreamhosters.com/u/reflate_v0c1.rar" TargetMode="External"/><Relationship Id="rId34" Type="http://schemas.openxmlformats.org/officeDocument/2006/relationships/hyperlink" Target="http://www.bzip.org/" TargetMode="External"/><Relationship Id="rId544" Type="http://schemas.openxmlformats.org/officeDocument/2006/relationships/hyperlink" Target="http://modarchive.org/data/downloads.php?moduleid=167157" TargetMode="External"/><Relationship Id="rId183" Type="http://schemas.openxmlformats.org/officeDocument/2006/relationships/hyperlink" Target="http://www.7-zip.org/" TargetMode="External"/><Relationship Id="rId390" Type="http://schemas.openxmlformats.org/officeDocument/2006/relationships/hyperlink" Target="http://www.compression.ru/ds/" TargetMode="External"/><Relationship Id="rId404" Type="http://schemas.openxmlformats.org/officeDocument/2006/relationships/hyperlink" Target="http://www.compression.ru/ds/" TargetMode="External"/><Relationship Id="rId611" Type="http://schemas.openxmlformats.org/officeDocument/2006/relationships/hyperlink" Target="http://ftp.sac.sk/sac/pack/uharc06b.zip" TargetMode="External"/><Relationship Id="rId250" Type="http://schemas.openxmlformats.org/officeDocument/2006/relationships/hyperlink" Target="http://www.winace.com/" TargetMode="External"/><Relationship Id="rId488" Type="http://schemas.openxmlformats.org/officeDocument/2006/relationships/hyperlink" Target="http://schnaader.info/precomp.php" TargetMode="External"/><Relationship Id="rId45" Type="http://schemas.openxmlformats.org/officeDocument/2006/relationships/hyperlink" Target="http://www.bzip.org/" TargetMode="External"/><Relationship Id="rId110" Type="http://schemas.openxmlformats.org/officeDocument/2006/relationships/hyperlink" Target="http://www.rarlabs.com/" TargetMode="External"/><Relationship Id="rId348" Type="http://schemas.openxmlformats.org/officeDocument/2006/relationships/hyperlink" Target="http://nishi.dreamhosters.com/u/reflate_v0c1.rar" TargetMode="External"/><Relationship Id="rId555" Type="http://schemas.openxmlformats.org/officeDocument/2006/relationships/hyperlink" Target="http://www.madtracker.org/" TargetMode="External"/><Relationship Id="rId194" Type="http://schemas.openxmlformats.org/officeDocument/2006/relationships/hyperlink" Target="http://www.nanozip.net/" TargetMode="External"/><Relationship Id="rId208" Type="http://schemas.openxmlformats.org/officeDocument/2006/relationships/hyperlink" Target="http://www.nanozip.net/" TargetMode="External"/><Relationship Id="rId415" Type="http://schemas.openxmlformats.org/officeDocument/2006/relationships/hyperlink" Target="http://code.google.com/p/lzham/" TargetMode="External"/><Relationship Id="rId622" Type="http://schemas.openxmlformats.org/officeDocument/2006/relationships/hyperlink" Target="http://www.bzip.org/" TargetMode="External"/><Relationship Id="rId261" Type="http://schemas.openxmlformats.org/officeDocument/2006/relationships/hyperlink" Target="http://www.winace.com/" TargetMode="External"/><Relationship Id="rId499" Type="http://schemas.openxmlformats.org/officeDocument/2006/relationships/hyperlink" Target="http://www.rarlabs.com/" TargetMode="External"/><Relationship Id="rId56" Type="http://schemas.openxmlformats.org/officeDocument/2006/relationships/hyperlink" Target="http://www.winzip.com/" TargetMode="External"/><Relationship Id="rId359" Type="http://schemas.openxmlformats.org/officeDocument/2006/relationships/hyperlink" Target="http://nishi.dreamhosters.com/u/reflate_v0c1.rar" TargetMode="External"/><Relationship Id="rId566" Type="http://schemas.openxmlformats.org/officeDocument/2006/relationships/hyperlink" Target="http://www.emit.jp/dgca/dgca_e.html" TargetMode="External"/><Relationship Id="rId121" Type="http://schemas.openxmlformats.org/officeDocument/2006/relationships/hyperlink" Target="http://www.rarlabs.com/" TargetMode="External"/><Relationship Id="rId219" Type="http://schemas.openxmlformats.org/officeDocument/2006/relationships/hyperlink" Target="http://www.nanozip.net/" TargetMode="External"/><Relationship Id="rId426" Type="http://schemas.openxmlformats.org/officeDocument/2006/relationships/hyperlink" Target="http://code.google.com/p/lzham/" TargetMode="External"/><Relationship Id="rId633" Type="http://schemas.openxmlformats.org/officeDocument/2006/relationships/hyperlink" Target="http://nishi.dreamhosters.com/u/reflate_v0c1.rar" TargetMode="External"/><Relationship Id="rId67" Type="http://schemas.openxmlformats.org/officeDocument/2006/relationships/hyperlink" Target="http://www.winzip.com/" TargetMode="External"/><Relationship Id="rId272" Type="http://schemas.openxmlformats.org/officeDocument/2006/relationships/hyperlink" Target="http://www.winace.com/" TargetMode="External"/><Relationship Id="rId577" Type="http://schemas.openxmlformats.org/officeDocument/2006/relationships/hyperlink" Target="http://libbsc.com/" TargetMode="External"/><Relationship Id="rId132" Type="http://schemas.openxmlformats.org/officeDocument/2006/relationships/hyperlink" Target="http://www.rarlabs.com/" TargetMode="External"/><Relationship Id="rId437" Type="http://schemas.openxmlformats.org/officeDocument/2006/relationships/hyperlink" Target="http://code.google.com/p/lzham/" TargetMode="External"/><Relationship Id="rId644" Type="http://schemas.openxmlformats.org/officeDocument/2006/relationships/hyperlink" Target="http://img.photographyblog.com/reviews/canon_eos_7d/sample_images/canon_eos_7d_05.cr2" TargetMode="External"/><Relationship Id="rId283" Type="http://schemas.openxmlformats.org/officeDocument/2006/relationships/hyperlink" Target="http://ftp.sac.sk/sac/pack/uharc06b.zip" TargetMode="External"/><Relationship Id="rId490" Type="http://schemas.openxmlformats.org/officeDocument/2006/relationships/hyperlink" Target="http://schnaader.info/precomp.php" TargetMode="External"/><Relationship Id="rId504" Type="http://schemas.openxmlformats.org/officeDocument/2006/relationships/hyperlink" Target="http://www.winace.com/" TargetMode="External"/><Relationship Id="rId78" Type="http://schemas.openxmlformats.org/officeDocument/2006/relationships/hyperlink" Target="http://www.winzip.com/" TargetMode="External"/><Relationship Id="rId143" Type="http://schemas.openxmlformats.org/officeDocument/2006/relationships/hyperlink" Target="http://www.emit.jp/dgca/dgca_e.html" TargetMode="External"/><Relationship Id="rId350" Type="http://schemas.openxmlformats.org/officeDocument/2006/relationships/hyperlink" Target="http://nishi.dreamhosters.com/u/reflate_v0c1.rar" TargetMode="External"/><Relationship Id="rId588" Type="http://schemas.openxmlformats.org/officeDocument/2006/relationships/hyperlink" Target="http://ftp.sac.sk/sac/pack/uharc06b.zip" TargetMode="External"/><Relationship Id="rId9" Type="http://schemas.openxmlformats.org/officeDocument/2006/relationships/hyperlink" Target="http://www.squeezechart.com/filou.gif" TargetMode="External"/><Relationship Id="rId210" Type="http://schemas.openxmlformats.org/officeDocument/2006/relationships/hyperlink" Target="http://www.nanozip.net/" TargetMode="External"/><Relationship Id="rId448" Type="http://schemas.openxmlformats.org/officeDocument/2006/relationships/hyperlink" Target="http://libbsc.com/" TargetMode="External"/><Relationship Id="rId655" Type="http://schemas.openxmlformats.org/officeDocument/2006/relationships/hyperlink" Target="http://www.winace.com/" TargetMode="External"/><Relationship Id="rId294" Type="http://schemas.openxmlformats.org/officeDocument/2006/relationships/hyperlink" Target="http://ftp.sac.sk/sac/pack/uharc06b.zip" TargetMode="External"/><Relationship Id="rId308" Type="http://schemas.openxmlformats.org/officeDocument/2006/relationships/hyperlink" Target="http://mattmahoney.net/dc/text.html" TargetMode="External"/><Relationship Id="rId515" Type="http://schemas.openxmlformats.org/officeDocument/2006/relationships/hyperlink" Target="http://www.rarlabs.com/" TargetMode="External"/><Relationship Id="rId89" Type="http://schemas.openxmlformats.org/officeDocument/2006/relationships/hyperlink" Target="http://heartofcomp.altervista.org/zcm.zip" TargetMode="External"/><Relationship Id="rId154" Type="http://schemas.openxmlformats.org/officeDocument/2006/relationships/hyperlink" Target="http://www.emit.jp/dgca/dgca_e.html" TargetMode="External"/><Relationship Id="rId361" Type="http://schemas.openxmlformats.org/officeDocument/2006/relationships/hyperlink" Target="http://www.mattmahoney.net/dc/text.html" TargetMode="External"/><Relationship Id="rId599" Type="http://schemas.openxmlformats.org/officeDocument/2006/relationships/hyperlink" Target="http://www.winzip.com/" TargetMode="External"/><Relationship Id="rId459" Type="http://schemas.openxmlformats.org/officeDocument/2006/relationships/hyperlink" Target="http://libbsc.com/" TargetMode="External"/><Relationship Id="rId666" Type="http://schemas.openxmlformats.org/officeDocument/2006/relationships/hyperlink" Target="http://www.7-zip.org/" TargetMode="External"/><Relationship Id="rId16" Type="http://schemas.openxmlformats.org/officeDocument/2006/relationships/hyperlink" Target="http://sourceforge.net/projects/stellarium/files/Stellarium-win32/0.11.2/" TargetMode="External"/><Relationship Id="rId221" Type="http://schemas.openxmlformats.org/officeDocument/2006/relationships/hyperlink" Target="http://freearc.org/" TargetMode="External"/><Relationship Id="rId319" Type="http://schemas.openxmlformats.org/officeDocument/2006/relationships/hyperlink" Target="http://mattmahoney.net/dc/text.html" TargetMode="External"/><Relationship Id="rId526" Type="http://schemas.openxmlformats.org/officeDocument/2006/relationships/hyperlink" Target="http://code.google.com/p/lzham/" TargetMode="External"/><Relationship Id="rId165" Type="http://schemas.openxmlformats.org/officeDocument/2006/relationships/hyperlink" Target="http://www.7-zip.org/" TargetMode="External"/><Relationship Id="rId372" Type="http://schemas.openxmlformats.org/officeDocument/2006/relationships/hyperlink" Target="http://www.mattmahoney.net/dc/text.html" TargetMode="External"/><Relationship Id="rId677" Type="http://schemas.openxmlformats.org/officeDocument/2006/relationships/hyperlink" Target="http://mattmahoney.net/dc/text.html" TargetMode="External"/><Relationship Id="rId232" Type="http://schemas.openxmlformats.org/officeDocument/2006/relationships/hyperlink" Target="http://freearc.org/" TargetMode="External"/><Relationship Id="rId27" Type="http://schemas.openxmlformats.org/officeDocument/2006/relationships/hyperlink" Target="http://www.bzip.org/" TargetMode="External"/><Relationship Id="rId537" Type="http://schemas.openxmlformats.org/officeDocument/2006/relationships/hyperlink" Target="http://ftp.sac.sk/sac/pack/uharc06b.zip" TargetMode="External"/><Relationship Id="rId80" Type="http://schemas.openxmlformats.org/officeDocument/2006/relationships/hyperlink" Target="http://heartofcomp.altervista.org/zcm.zip" TargetMode="External"/><Relationship Id="rId176" Type="http://schemas.openxmlformats.org/officeDocument/2006/relationships/hyperlink" Target="http://www.7-zip.org/" TargetMode="External"/><Relationship Id="rId383" Type="http://schemas.openxmlformats.org/officeDocument/2006/relationships/hyperlink" Target="http://www.mattmahoney.net/dc/text.html" TargetMode="External"/><Relationship Id="rId590" Type="http://schemas.openxmlformats.org/officeDocument/2006/relationships/hyperlink" Target="http://nishi.dreamhosters.com/u/reflate_v0c1.rar" TargetMode="External"/><Relationship Id="rId604" Type="http://schemas.openxmlformats.org/officeDocument/2006/relationships/hyperlink" Target="http://heartofcomp.altervista.org/zcm.zip" TargetMode="External"/><Relationship Id="rId243" Type="http://schemas.openxmlformats.org/officeDocument/2006/relationships/hyperlink" Target="http://freearc.org/" TargetMode="External"/><Relationship Id="rId450" Type="http://schemas.openxmlformats.org/officeDocument/2006/relationships/hyperlink" Target="http://libbsc.com/" TargetMode="External"/><Relationship Id="rId688" Type="http://schemas.openxmlformats.org/officeDocument/2006/relationships/hyperlink" Target="http://www.squeezechart.com/SDIM1021.X3F" TargetMode="External"/><Relationship Id="rId38" Type="http://schemas.openxmlformats.org/officeDocument/2006/relationships/hyperlink" Target="http://www.bzip.org/" TargetMode="External"/><Relationship Id="rId103" Type="http://schemas.openxmlformats.org/officeDocument/2006/relationships/hyperlink" Target="http://heartofcomp.altervista.org/zcm.zip" TargetMode="External"/><Relationship Id="rId310" Type="http://schemas.openxmlformats.org/officeDocument/2006/relationships/hyperlink" Target="http://mattmahoney.net/dc/text.html" TargetMode="External"/><Relationship Id="rId548" Type="http://schemas.openxmlformats.org/officeDocument/2006/relationships/hyperlink" Target="http://psycle.pastnotecut.org/portal.php" TargetMode="External"/><Relationship Id="rId91" Type="http://schemas.openxmlformats.org/officeDocument/2006/relationships/hyperlink" Target="http://heartofcomp.altervista.org/zcm.zip" TargetMode="External"/><Relationship Id="rId187" Type="http://schemas.openxmlformats.org/officeDocument/2006/relationships/hyperlink" Target="http://www.7-zip.org/" TargetMode="External"/><Relationship Id="rId394" Type="http://schemas.openxmlformats.org/officeDocument/2006/relationships/hyperlink" Target="http://www.compression.ru/ds/" TargetMode="External"/><Relationship Id="rId408" Type="http://schemas.openxmlformats.org/officeDocument/2006/relationships/hyperlink" Target="http://www.compression.ru/ds/" TargetMode="External"/><Relationship Id="rId615" Type="http://schemas.openxmlformats.org/officeDocument/2006/relationships/hyperlink" Target="http://www.compression.ru/ds/" TargetMode="External"/><Relationship Id="rId254" Type="http://schemas.openxmlformats.org/officeDocument/2006/relationships/hyperlink" Target="http://www.winace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en.wikipedia.org/wiki/L.L._Zamenhof" TargetMode="External"/><Relationship Id="rId1" Type="http://schemas.openxmlformats.org/officeDocument/2006/relationships/hyperlink" Target="http://www.unboundbible.org/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A41A"/>
  </sheetPr>
  <dimension ref="A1:B24"/>
  <sheetViews>
    <sheetView showGridLines="0" workbookViewId="0">
      <selection activeCell="A25" sqref="A25"/>
    </sheetView>
  </sheetViews>
  <sheetFormatPr baseColWidth="10" defaultColWidth="0" defaultRowHeight="12.75" customHeight="1" zeroHeight="1"/>
  <cols>
    <col min="1" max="1" width="11.42578125" style="1" customWidth="1"/>
    <col min="2" max="2" width="122.140625" style="1" customWidth="1"/>
    <col min="3" max="16384" width="0" style="1" hidden="1"/>
  </cols>
  <sheetData>
    <row r="1" spans="1:2" ht="27">
      <c r="A1" s="2"/>
      <c r="B1" s="3" t="s">
        <v>0</v>
      </c>
    </row>
    <row r="2" spans="1:2" ht="22.5">
      <c r="A2" s="2"/>
      <c r="B2" s="2"/>
    </row>
    <row r="3" spans="1:2" ht="27">
      <c r="A3" s="4" t="s">
        <v>1</v>
      </c>
      <c r="B3" s="3" t="s">
        <v>2</v>
      </c>
    </row>
    <row r="4" spans="1:2" ht="27">
      <c r="A4" s="4"/>
      <c r="B4" s="3" t="s">
        <v>3</v>
      </c>
    </row>
    <row r="5" spans="1:2" ht="12" customHeight="1">
      <c r="A5" s="4"/>
      <c r="B5" s="3"/>
    </row>
    <row r="6" spans="1:2" ht="27">
      <c r="A6" s="4" t="s">
        <v>4</v>
      </c>
      <c r="B6" s="3" t="s">
        <v>5</v>
      </c>
    </row>
    <row r="7" spans="1:2" ht="12" customHeight="1">
      <c r="A7" s="4"/>
      <c r="B7" s="3"/>
    </row>
    <row r="8" spans="1:2" ht="27">
      <c r="A8" s="4" t="s">
        <v>6</v>
      </c>
      <c r="B8" s="3" t="s">
        <v>7</v>
      </c>
    </row>
    <row r="9" spans="1:2" ht="12" customHeight="1">
      <c r="A9" s="4"/>
      <c r="B9" s="3"/>
    </row>
    <row r="10" spans="1:2" ht="27">
      <c r="A10" s="4" t="s">
        <v>8</v>
      </c>
      <c r="B10" s="3" t="s">
        <v>9</v>
      </c>
    </row>
    <row r="11" spans="1:2" ht="27">
      <c r="A11" s="4"/>
      <c r="B11" s="3" t="s">
        <v>10</v>
      </c>
    </row>
    <row r="12" spans="1:2" ht="12" customHeight="1">
      <c r="A12" s="4"/>
      <c r="B12" s="3"/>
    </row>
    <row r="13" spans="1:2" ht="27">
      <c r="A13" s="4" t="s">
        <v>11</v>
      </c>
      <c r="B13" s="3" t="s">
        <v>12</v>
      </c>
    </row>
    <row r="14" spans="1:2" ht="12" customHeight="1">
      <c r="A14" s="4"/>
      <c r="B14" s="3"/>
    </row>
    <row r="15" spans="1:2" ht="27">
      <c r="A15" s="4" t="s">
        <v>13</v>
      </c>
      <c r="B15" s="3" t="s">
        <v>14</v>
      </c>
    </row>
    <row r="16" spans="1:2" ht="12" customHeight="1">
      <c r="A16" s="4"/>
      <c r="B16" s="3"/>
    </row>
    <row r="17" spans="1:2" ht="27">
      <c r="A17" s="4" t="s">
        <v>15</v>
      </c>
      <c r="B17" s="3" t="s">
        <v>16</v>
      </c>
    </row>
    <row r="18" spans="1:2" ht="12" customHeight="1">
      <c r="A18" s="4"/>
      <c r="B18" s="3"/>
    </row>
    <row r="19" spans="1:2" ht="27">
      <c r="A19" s="4" t="s">
        <v>17</v>
      </c>
      <c r="B19" s="3" t="s">
        <v>18</v>
      </c>
    </row>
    <row r="20" spans="1:2" ht="12" customHeight="1">
      <c r="A20" s="4"/>
      <c r="B20" s="3"/>
    </row>
    <row r="21" spans="1:2" ht="27">
      <c r="A21" s="4" t="s">
        <v>19</v>
      </c>
      <c r="B21" s="3" t="s">
        <v>20</v>
      </c>
    </row>
    <row r="22" spans="1:2" ht="12" customHeight="1">
      <c r="A22" s="4"/>
      <c r="B22" s="3"/>
    </row>
    <row r="23" spans="1:2" ht="27">
      <c r="A23" s="4" t="s">
        <v>21</v>
      </c>
      <c r="B23" s="3" t="s">
        <v>22</v>
      </c>
    </row>
    <row r="24" spans="1:2" ht="27">
      <c r="A24" s="3"/>
      <c r="B24" s="3" t="s">
        <v>23</v>
      </c>
    </row>
  </sheetData>
  <pageMargins left="0.70000000000000007" right="0.70000000000000007" top="0.78749999999999998" bottom="0.78749999999999998" header="0.51180555555555562" footer="0.51180555555555562"/>
  <pageSetup paperSize="9" firstPageNumber="0" orientation="portrait" r:id="rId1"/>
  <headerFooter alignWithMargins="0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D70"/>
  <sheetViews>
    <sheetView showGridLines="0" workbookViewId="0">
      <selection activeCell="A6" sqref="A6"/>
    </sheetView>
  </sheetViews>
  <sheetFormatPr baseColWidth="10" defaultColWidth="9.140625" defaultRowHeight="12.75"/>
  <cols>
    <col min="1" max="1" width="24.7109375" style="1" customWidth="1"/>
    <col min="2" max="2" width="55.28515625" style="1" customWidth="1"/>
    <col min="3" max="3" width="18.7109375" style="1" customWidth="1"/>
    <col min="4" max="4" width="80.7109375" style="1" customWidth="1"/>
    <col min="5" max="16384" width="9.140625" style="1"/>
  </cols>
  <sheetData>
    <row r="1" spans="1:4">
      <c r="A1" s="3120" t="s">
        <v>28</v>
      </c>
      <c r="B1" s="3120"/>
      <c r="C1" s="3120"/>
      <c r="D1" s="3120"/>
    </row>
    <row r="2" spans="1:4">
      <c r="A2" s="3120"/>
      <c r="B2" s="3120"/>
      <c r="C2" s="3120"/>
      <c r="D2" s="3120"/>
    </row>
    <row r="3" spans="1:4">
      <c r="A3" s="3120"/>
      <c r="B3" s="3120"/>
      <c r="C3" s="3120"/>
      <c r="D3" s="3120"/>
    </row>
    <row r="4" spans="1:4">
      <c r="A4" s="3120"/>
      <c r="B4" s="3120"/>
      <c r="C4" s="3120"/>
      <c r="D4" s="3120"/>
    </row>
    <row r="5" spans="1:4">
      <c r="A5" s="3120"/>
      <c r="B5" s="3120"/>
      <c r="C5" s="3120"/>
      <c r="D5" s="3120"/>
    </row>
    <row r="6" spans="1:4" ht="67.5">
      <c r="A6" s="176"/>
      <c r="B6" s="3121" t="s">
        <v>1129</v>
      </c>
      <c r="C6" s="3122"/>
      <c r="D6" s="3122"/>
    </row>
    <row r="7" spans="1:4" ht="17.25">
      <c r="A7" s="8"/>
      <c r="B7" s="9"/>
      <c r="C7" s="9"/>
      <c r="D7" s="9"/>
    </row>
    <row r="8" spans="1:4" ht="20.25">
      <c r="A8" s="10" t="s">
        <v>29</v>
      </c>
      <c r="B8" s="10"/>
      <c r="C8" s="11"/>
      <c r="D8" s="11"/>
    </row>
    <row r="9" spans="1:4" ht="20.25">
      <c r="A9" s="10"/>
      <c r="B9" s="10"/>
      <c r="C9" s="11"/>
      <c r="D9" s="10"/>
    </row>
    <row r="10" spans="1:4" ht="20.25">
      <c r="A10" s="12" t="s">
        <v>27</v>
      </c>
      <c r="B10" s="171" t="s">
        <v>1068</v>
      </c>
      <c r="C10" s="11"/>
      <c r="D10" s="11"/>
    </row>
    <row r="11" spans="1:4" ht="17.25" customHeight="1">
      <c r="A11" s="12"/>
      <c r="B11" s="9" t="s">
        <v>1066</v>
      </c>
      <c r="C11" s="11"/>
      <c r="D11" s="11"/>
    </row>
    <row r="12" spans="1:4" ht="17.25" customHeight="1">
      <c r="A12" s="12"/>
      <c r="B12" s="9" t="s">
        <v>1120</v>
      </c>
      <c r="C12" s="11"/>
      <c r="D12" s="11"/>
    </row>
    <row r="13" spans="1:4" ht="12.75" customHeight="1">
      <c r="A13" s="13"/>
      <c r="B13" s="13"/>
      <c r="C13" s="13"/>
      <c r="D13" s="13"/>
    </row>
    <row r="14" spans="1:4" ht="12.75" customHeight="1">
      <c r="A14" s="11"/>
      <c r="B14" s="11"/>
      <c r="C14" s="11"/>
      <c r="D14" s="11"/>
    </row>
    <row r="15" spans="1:4" ht="20.25">
      <c r="A15" s="12" t="s">
        <v>1006</v>
      </c>
      <c r="B15" s="172" t="s">
        <v>1069</v>
      </c>
    </row>
    <row r="16" spans="1:4" ht="17.25">
      <c r="B16" s="9" t="s">
        <v>1067</v>
      </c>
    </row>
    <row r="17" spans="1:4" ht="17.25">
      <c r="B17" s="9" t="s">
        <v>1121</v>
      </c>
    </row>
    <row r="18" spans="1:4">
      <c r="A18" s="173"/>
      <c r="B18" s="173"/>
      <c r="C18" s="173"/>
      <c r="D18" s="173"/>
    </row>
    <row r="20" spans="1:4" ht="20.25">
      <c r="A20" s="12" t="s">
        <v>32</v>
      </c>
      <c r="B20" s="172" t="s">
        <v>1081</v>
      </c>
    </row>
    <row r="21" spans="1:4" ht="17.25">
      <c r="B21" s="174" t="s">
        <v>1070</v>
      </c>
    </row>
    <row r="22" spans="1:4">
      <c r="A22" s="173"/>
      <c r="B22" s="173"/>
      <c r="C22" s="173"/>
      <c r="D22" s="173"/>
    </row>
    <row r="24" spans="1:4" ht="20.25">
      <c r="A24" s="12" t="s">
        <v>26</v>
      </c>
      <c r="B24" s="172" t="s">
        <v>1071</v>
      </c>
    </row>
    <row r="25" spans="1:4" ht="17.25">
      <c r="B25" s="174" t="s">
        <v>1072</v>
      </c>
    </row>
    <row r="26" spans="1:4" ht="17.25">
      <c r="B26" s="9" t="s">
        <v>1122</v>
      </c>
    </row>
    <row r="27" spans="1:4">
      <c r="A27" s="173"/>
      <c r="B27" s="173"/>
      <c r="C27" s="173"/>
      <c r="D27" s="173"/>
    </row>
    <row r="29" spans="1:4" ht="20.25">
      <c r="A29" s="12" t="s">
        <v>55</v>
      </c>
      <c r="B29" s="172" t="s">
        <v>1083</v>
      </c>
    </row>
    <row r="30" spans="1:4" ht="17.25">
      <c r="B30" s="9" t="s">
        <v>43</v>
      </c>
    </row>
    <row r="31" spans="1:4" ht="17.25">
      <c r="B31" s="9" t="s">
        <v>44</v>
      </c>
    </row>
    <row r="32" spans="1:4">
      <c r="A32" s="173"/>
      <c r="B32" s="173"/>
      <c r="C32" s="173"/>
      <c r="D32" s="173"/>
    </row>
    <row r="34" spans="1:4" ht="20.25">
      <c r="A34" s="12" t="s">
        <v>56</v>
      </c>
      <c r="B34" s="172" t="s">
        <v>1082</v>
      </c>
    </row>
    <row r="35" spans="1:4" ht="17.25">
      <c r="B35" s="175" t="s">
        <v>1124</v>
      </c>
    </row>
    <row r="36" spans="1:4" ht="17.25">
      <c r="B36" s="175" t="s">
        <v>1073</v>
      </c>
    </row>
    <row r="37" spans="1:4">
      <c r="A37" s="173"/>
      <c r="B37" s="173"/>
      <c r="C37" s="173"/>
      <c r="D37" s="173"/>
    </row>
    <row r="39" spans="1:4" ht="20.25">
      <c r="A39" s="12" t="s">
        <v>57</v>
      </c>
    </row>
    <row r="40" spans="1:4" ht="17.25">
      <c r="B40" s="174" t="s">
        <v>1074</v>
      </c>
    </row>
    <row r="41" spans="1:4" ht="17.25">
      <c r="B41" s="174" t="s">
        <v>1123</v>
      </c>
    </row>
    <row r="42" spans="1:4">
      <c r="A42" s="173"/>
      <c r="B42" s="173"/>
      <c r="C42" s="173"/>
      <c r="D42" s="173"/>
    </row>
    <row r="44" spans="1:4" ht="20.25">
      <c r="A44" s="12" t="s">
        <v>1075</v>
      </c>
      <c r="B44" s="172" t="s">
        <v>30</v>
      </c>
    </row>
    <row r="45" spans="1:4" ht="17.25">
      <c r="B45" s="174" t="s">
        <v>1076</v>
      </c>
    </row>
    <row r="46" spans="1:4">
      <c r="A46" s="173"/>
      <c r="B46" s="173"/>
      <c r="C46" s="173"/>
      <c r="D46" s="173"/>
    </row>
    <row r="48" spans="1:4" ht="20.25">
      <c r="A48" s="12" t="s">
        <v>45</v>
      </c>
      <c r="B48" s="172" t="s">
        <v>1084</v>
      </c>
    </row>
    <row r="49" spans="1:4" ht="17.25">
      <c r="B49" s="174" t="s">
        <v>1077</v>
      </c>
    </row>
    <row r="50" spans="1:4" ht="17.25">
      <c r="B50" s="174" t="s">
        <v>1125</v>
      </c>
    </row>
    <row r="51" spans="1:4">
      <c r="A51" s="173"/>
      <c r="B51" s="173"/>
      <c r="C51" s="173"/>
      <c r="D51" s="173"/>
    </row>
    <row r="53" spans="1:4" ht="20.25">
      <c r="A53" s="12" t="s">
        <v>58</v>
      </c>
      <c r="B53" s="172" t="s">
        <v>1085</v>
      </c>
    </row>
    <row r="54" spans="1:4" ht="17.25">
      <c r="B54" s="174" t="s">
        <v>1080</v>
      </c>
    </row>
    <row r="55" spans="1:4" ht="17.25">
      <c r="B55" s="174" t="s">
        <v>1126</v>
      </c>
    </row>
    <row r="56" spans="1:4">
      <c r="A56" s="173"/>
      <c r="B56" s="173"/>
      <c r="C56" s="173"/>
      <c r="D56" s="173"/>
    </row>
    <row r="58" spans="1:4" ht="20.25">
      <c r="A58" s="12" t="s">
        <v>1007</v>
      </c>
      <c r="B58" s="172" t="s">
        <v>1086</v>
      </c>
      <c r="C58" s="172" t="s">
        <v>1078</v>
      </c>
    </row>
    <row r="59" spans="1:4" ht="17.25">
      <c r="B59" s="174" t="s">
        <v>1079</v>
      </c>
    </row>
    <row r="61" spans="1:4" ht="17.25">
      <c r="B61" s="175" t="s">
        <v>33</v>
      </c>
    </row>
    <row r="62" spans="1:4" ht="17.25">
      <c r="B62" s="175" t="s">
        <v>34</v>
      </c>
    </row>
    <row r="63" spans="1:4" ht="17.25">
      <c r="B63" s="175" t="s">
        <v>35</v>
      </c>
    </row>
    <row r="64" spans="1:4" ht="17.25">
      <c r="B64" s="175" t="s">
        <v>36</v>
      </c>
    </row>
    <row r="65" spans="2:2" ht="17.25">
      <c r="B65" s="175" t="s">
        <v>37</v>
      </c>
    </row>
    <row r="66" spans="2:2" ht="17.25">
      <c r="B66" s="175" t="s">
        <v>38</v>
      </c>
    </row>
    <row r="67" spans="2:2" ht="17.25">
      <c r="B67" s="175" t="s">
        <v>39</v>
      </c>
    </row>
    <row r="68" spans="2:2" ht="17.25">
      <c r="B68" s="175" t="s">
        <v>40</v>
      </c>
    </row>
    <row r="69" spans="2:2" ht="17.25">
      <c r="B69" s="175" t="s">
        <v>41</v>
      </c>
    </row>
    <row r="70" spans="2:2" ht="17.25">
      <c r="B70" s="175" t="s">
        <v>42</v>
      </c>
    </row>
  </sheetData>
  <sortState ref="B54:D56">
    <sortCondition ref="C54:C56"/>
  </sortState>
  <mergeCells count="2">
    <mergeCell ref="A1:D5"/>
    <mergeCell ref="B6:D6"/>
  </mergeCells>
  <hyperlinks>
    <hyperlink ref="B10" r:id="rId1"/>
    <hyperlink ref="B15" r:id="rId2"/>
    <hyperlink ref="B24" r:id="rId3"/>
    <hyperlink ref="B44" r:id="rId4"/>
    <hyperlink ref="C58" r:id="rId5"/>
    <hyperlink ref="B20" r:id="rId6"/>
    <hyperlink ref="B34" r:id="rId7"/>
    <hyperlink ref="B29" r:id="rId8"/>
    <hyperlink ref="B48" r:id="rId9"/>
    <hyperlink ref="B53" r:id="rId10"/>
    <hyperlink ref="B58" r:id="rId11"/>
  </hyperlinks>
  <pageMargins left="0.7" right="0.7" top="0.75" bottom="0.75" header="0.3" footer="0.3"/>
  <pageSetup paperSize="9" orientation="portrait" r:id="rId12"/>
  <picture r:id="rId13"/>
  <webPublishItems count="1">
    <webPublishItem id="16678" divId="Squeeze Chart 2009 XML INSTALLER_16678" sourceType="range" sourceRef="A1:D14" destinationFile="E:\faq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WWI534"/>
  <sheetViews>
    <sheetView showGridLines="0" tabSelected="1" zoomScaleNormal="100" workbookViewId="0">
      <pane xSplit="8" ySplit="12" topLeftCell="I13" activePane="bottomRight" state="frozen"/>
      <selection pane="topRight" activeCell="K1" sqref="K1"/>
      <selection pane="bottomLeft" activeCell="A11" sqref="A11"/>
      <selection pane="bottomRight" activeCell="N6" sqref="N6"/>
    </sheetView>
  </sheetViews>
  <sheetFormatPr baseColWidth="10" defaultColWidth="0" defaultRowHeight="0" customHeight="1" zeroHeight="1"/>
  <cols>
    <col min="1" max="2" width="3.28515625" style="1" customWidth="1"/>
    <col min="3" max="3" width="35.7109375" style="1" customWidth="1"/>
    <col min="4" max="4" width="2.7109375" style="1" customWidth="1"/>
    <col min="5" max="5" width="14.28515625" style="1" hidden="1" customWidth="1"/>
    <col min="6" max="6" width="10.5703125" style="1" customWidth="1"/>
    <col min="7" max="8" width="9.5703125" style="1" customWidth="1"/>
    <col min="9" max="11" width="12.7109375" style="151" customWidth="1"/>
    <col min="12" max="12" width="14.28515625" style="151" customWidth="1"/>
    <col min="13" max="16" width="12.7109375" style="151" customWidth="1"/>
    <col min="17" max="17" width="14.28515625" style="151" customWidth="1"/>
    <col min="18" max="18" width="8.7109375" style="151" customWidth="1"/>
    <col min="19" max="19" width="6.85546875" style="151" customWidth="1"/>
    <col min="20" max="20" width="4" style="151" customWidth="1"/>
    <col min="21" max="21" width="11.85546875" style="1" customWidth="1"/>
    <col min="22" max="22" width="15.7109375" style="1" customWidth="1"/>
    <col min="23" max="23" width="30.7109375" style="1" customWidth="1"/>
    <col min="24" max="24" width="7.7109375" style="1" customWidth="1"/>
    <col min="25" max="25" width="3.28515625" style="1" customWidth="1"/>
    <col min="26" max="249" width="0" style="1" hidden="1"/>
    <col min="250" max="251" width="3.28515625" style="1" hidden="1" customWidth="1"/>
    <col min="252" max="252" width="30.7109375" style="1" hidden="1" customWidth="1"/>
    <col min="253" max="253" width="2.7109375" style="1" hidden="1" customWidth="1"/>
    <col min="254" max="254" width="12.85546875" style="1" hidden="1" customWidth="1"/>
    <col min="255" max="256" width="9.5703125" style="1" hidden="1" customWidth="1"/>
    <col min="257" max="257" width="7.42578125" style="1" hidden="1" customWidth="1"/>
    <col min="258" max="258" width="11.140625" style="1" hidden="1" customWidth="1"/>
    <col min="259" max="259" width="11.28515625" style="1" hidden="1" customWidth="1"/>
    <col min="260" max="260" width="11.7109375" style="1" hidden="1" customWidth="1"/>
    <col min="261" max="261" width="11.28515625" style="1" hidden="1" customWidth="1"/>
    <col min="262" max="262" width="10.7109375" style="1" hidden="1" customWidth="1"/>
    <col min="263" max="263" width="11.28515625" style="1" hidden="1" customWidth="1"/>
    <col min="264" max="264" width="11.42578125" style="1" hidden="1" customWidth="1"/>
    <col min="265" max="265" width="10.42578125" style="1" hidden="1" customWidth="1"/>
    <col min="266" max="266" width="11.28515625" style="1" hidden="1" customWidth="1"/>
    <col min="267" max="267" width="11.42578125" style="1" hidden="1" customWidth="1"/>
    <col min="268" max="268" width="10.7109375" style="1" hidden="1" customWidth="1"/>
    <col min="269" max="269" width="10.28515625" style="1" hidden="1" customWidth="1"/>
    <col min="270" max="270" width="11.5703125" style="1" hidden="1" customWidth="1"/>
    <col min="271" max="272" width="11.42578125" style="1" hidden="1" customWidth="1"/>
    <col min="273" max="273" width="10.85546875" style="1" hidden="1" customWidth="1"/>
    <col min="274" max="274" width="8.7109375" style="1" hidden="1" customWidth="1"/>
    <col min="275" max="275" width="6.28515625" style="1" hidden="1" customWidth="1"/>
    <col min="276" max="276" width="4" style="1" hidden="1" customWidth="1"/>
    <col min="277" max="277" width="8.7109375" style="1" hidden="1" customWidth="1"/>
    <col min="278" max="278" width="13.7109375" style="1" hidden="1" customWidth="1"/>
    <col min="279" max="279" width="20.7109375" style="1" hidden="1" customWidth="1"/>
    <col min="280" max="280" width="9.42578125" style="1" hidden="1" customWidth="1"/>
    <col min="281" max="281" width="3.28515625" style="1" hidden="1" customWidth="1"/>
    <col min="282" max="505" width="0" style="1" hidden="1"/>
    <col min="506" max="507" width="3.28515625" style="1" hidden="1" customWidth="1"/>
    <col min="508" max="508" width="30.7109375" style="1" hidden="1" customWidth="1"/>
    <col min="509" max="509" width="2.7109375" style="1" hidden="1" customWidth="1"/>
    <col min="510" max="510" width="12.85546875" style="1" hidden="1" customWidth="1"/>
    <col min="511" max="512" width="9.5703125" style="1" hidden="1" customWidth="1"/>
    <col min="513" max="513" width="7.42578125" style="1" hidden="1" customWidth="1"/>
    <col min="514" max="514" width="11.140625" style="1" hidden="1" customWidth="1"/>
    <col min="515" max="515" width="11.28515625" style="1" hidden="1" customWidth="1"/>
    <col min="516" max="516" width="11.7109375" style="1" hidden="1" customWidth="1"/>
    <col min="517" max="517" width="11.28515625" style="1" hidden="1" customWidth="1"/>
    <col min="518" max="518" width="10.7109375" style="1" hidden="1" customWidth="1"/>
    <col min="519" max="519" width="11.28515625" style="1" hidden="1" customWidth="1"/>
    <col min="520" max="520" width="11.42578125" style="1" hidden="1" customWidth="1"/>
    <col min="521" max="521" width="10.42578125" style="1" hidden="1" customWidth="1"/>
    <col min="522" max="522" width="11.28515625" style="1" hidden="1" customWidth="1"/>
    <col min="523" max="523" width="11.42578125" style="1" hidden="1" customWidth="1"/>
    <col min="524" max="524" width="10.7109375" style="1" hidden="1" customWidth="1"/>
    <col min="525" max="525" width="10.28515625" style="1" hidden="1" customWidth="1"/>
    <col min="526" max="526" width="11.5703125" style="1" hidden="1" customWidth="1"/>
    <col min="527" max="528" width="11.42578125" style="1" hidden="1" customWidth="1"/>
    <col min="529" max="529" width="10.85546875" style="1" hidden="1" customWidth="1"/>
    <col min="530" max="530" width="8.7109375" style="1" hidden="1" customWidth="1"/>
    <col min="531" max="531" width="6.28515625" style="1" hidden="1" customWidth="1"/>
    <col min="532" max="532" width="4" style="1" hidden="1" customWidth="1"/>
    <col min="533" max="533" width="8.7109375" style="1" hidden="1" customWidth="1"/>
    <col min="534" max="534" width="13.7109375" style="1" hidden="1" customWidth="1"/>
    <col min="535" max="535" width="20.7109375" style="1" hidden="1" customWidth="1"/>
    <col min="536" max="536" width="9.42578125" style="1" hidden="1" customWidth="1"/>
    <col min="537" max="537" width="3.28515625" style="1" hidden="1" customWidth="1"/>
    <col min="538" max="761" width="0" style="1" hidden="1"/>
    <col min="762" max="763" width="3.28515625" style="1" hidden="1" customWidth="1"/>
    <col min="764" max="764" width="30.7109375" style="1" hidden="1" customWidth="1"/>
    <col min="765" max="765" width="2.7109375" style="1" hidden="1" customWidth="1"/>
    <col min="766" max="766" width="12.85546875" style="1" hidden="1" customWidth="1"/>
    <col min="767" max="768" width="9.5703125" style="1" hidden="1" customWidth="1"/>
    <col min="769" max="769" width="7.42578125" style="1" hidden="1" customWidth="1"/>
    <col min="770" max="770" width="11.140625" style="1" hidden="1" customWidth="1"/>
    <col min="771" max="771" width="11.28515625" style="1" hidden="1" customWidth="1"/>
    <col min="772" max="772" width="11.7109375" style="1" hidden="1" customWidth="1"/>
    <col min="773" max="773" width="11.28515625" style="1" hidden="1" customWidth="1"/>
    <col min="774" max="774" width="10.7109375" style="1" hidden="1" customWidth="1"/>
    <col min="775" max="775" width="11.28515625" style="1" hidden="1" customWidth="1"/>
    <col min="776" max="776" width="11.42578125" style="1" hidden="1" customWidth="1"/>
    <col min="777" max="777" width="10.42578125" style="1" hidden="1" customWidth="1"/>
    <col min="778" max="778" width="11.28515625" style="1" hidden="1" customWidth="1"/>
    <col min="779" max="779" width="11.42578125" style="1" hidden="1" customWidth="1"/>
    <col min="780" max="780" width="10.7109375" style="1" hidden="1" customWidth="1"/>
    <col min="781" max="781" width="10.28515625" style="1" hidden="1" customWidth="1"/>
    <col min="782" max="782" width="11.5703125" style="1" hidden="1" customWidth="1"/>
    <col min="783" max="784" width="11.42578125" style="1" hidden="1" customWidth="1"/>
    <col min="785" max="785" width="10.85546875" style="1" hidden="1" customWidth="1"/>
    <col min="786" max="786" width="8.7109375" style="1" hidden="1" customWidth="1"/>
    <col min="787" max="787" width="6.28515625" style="1" hidden="1" customWidth="1"/>
    <col min="788" max="788" width="4" style="1" hidden="1" customWidth="1"/>
    <col min="789" max="789" width="8.7109375" style="1" hidden="1" customWidth="1"/>
    <col min="790" max="790" width="13.7109375" style="1" hidden="1" customWidth="1"/>
    <col min="791" max="791" width="20.7109375" style="1" hidden="1" customWidth="1"/>
    <col min="792" max="792" width="9.42578125" style="1" hidden="1" customWidth="1"/>
    <col min="793" max="793" width="3.28515625" style="1" hidden="1" customWidth="1"/>
    <col min="794" max="1017" width="0" style="1" hidden="1"/>
    <col min="1018" max="1019" width="3.28515625" style="1" hidden="1" customWidth="1"/>
    <col min="1020" max="1020" width="30.7109375" style="1" hidden="1" customWidth="1"/>
    <col min="1021" max="1021" width="2.7109375" style="1" hidden="1" customWidth="1"/>
    <col min="1022" max="1022" width="12.85546875" style="1" hidden="1" customWidth="1"/>
    <col min="1023" max="1024" width="9.5703125" style="1" hidden="1" customWidth="1"/>
    <col min="1025" max="1025" width="7.42578125" style="1" hidden="1" customWidth="1"/>
    <col min="1026" max="1026" width="11.140625" style="1" hidden="1" customWidth="1"/>
    <col min="1027" max="1027" width="11.28515625" style="1" hidden="1" customWidth="1"/>
    <col min="1028" max="1028" width="11.7109375" style="1" hidden="1" customWidth="1"/>
    <col min="1029" max="1029" width="11.28515625" style="1" hidden="1" customWidth="1"/>
    <col min="1030" max="1030" width="10.7109375" style="1" hidden="1" customWidth="1"/>
    <col min="1031" max="1031" width="11.28515625" style="1" hidden="1" customWidth="1"/>
    <col min="1032" max="1032" width="11.42578125" style="1" hidden="1" customWidth="1"/>
    <col min="1033" max="1033" width="10.42578125" style="1" hidden="1" customWidth="1"/>
    <col min="1034" max="1034" width="11.28515625" style="1" hidden="1" customWidth="1"/>
    <col min="1035" max="1035" width="11.42578125" style="1" hidden="1" customWidth="1"/>
    <col min="1036" max="1036" width="10.7109375" style="1" hidden="1" customWidth="1"/>
    <col min="1037" max="1037" width="10.28515625" style="1" hidden="1" customWidth="1"/>
    <col min="1038" max="1038" width="11.5703125" style="1" hidden="1" customWidth="1"/>
    <col min="1039" max="1040" width="11.42578125" style="1" hidden="1" customWidth="1"/>
    <col min="1041" max="1041" width="10.85546875" style="1" hidden="1" customWidth="1"/>
    <col min="1042" max="1042" width="8.7109375" style="1" hidden="1" customWidth="1"/>
    <col min="1043" max="1043" width="6.28515625" style="1" hidden="1" customWidth="1"/>
    <col min="1044" max="1044" width="4" style="1" hidden="1" customWidth="1"/>
    <col min="1045" max="1045" width="8.7109375" style="1" hidden="1" customWidth="1"/>
    <col min="1046" max="1046" width="13.7109375" style="1" hidden="1" customWidth="1"/>
    <col min="1047" max="1047" width="20.7109375" style="1" hidden="1" customWidth="1"/>
    <col min="1048" max="1048" width="9.42578125" style="1" hidden="1" customWidth="1"/>
    <col min="1049" max="1049" width="3.28515625" style="1" hidden="1" customWidth="1"/>
    <col min="1050" max="1273" width="0" style="1" hidden="1"/>
    <col min="1274" max="1275" width="3.28515625" style="1" hidden="1" customWidth="1"/>
    <col min="1276" max="1276" width="30.7109375" style="1" hidden="1" customWidth="1"/>
    <col min="1277" max="1277" width="2.7109375" style="1" hidden="1" customWidth="1"/>
    <col min="1278" max="1278" width="12.85546875" style="1" hidden="1" customWidth="1"/>
    <col min="1279" max="1280" width="9.5703125" style="1" hidden="1" customWidth="1"/>
    <col min="1281" max="1281" width="7.42578125" style="1" hidden="1" customWidth="1"/>
    <col min="1282" max="1282" width="11.140625" style="1" hidden="1" customWidth="1"/>
    <col min="1283" max="1283" width="11.28515625" style="1" hidden="1" customWidth="1"/>
    <col min="1284" max="1284" width="11.7109375" style="1" hidden="1" customWidth="1"/>
    <col min="1285" max="1285" width="11.28515625" style="1" hidden="1" customWidth="1"/>
    <col min="1286" max="1286" width="10.7109375" style="1" hidden="1" customWidth="1"/>
    <col min="1287" max="1287" width="11.28515625" style="1" hidden="1" customWidth="1"/>
    <col min="1288" max="1288" width="11.42578125" style="1" hidden="1" customWidth="1"/>
    <col min="1289" max="1289" width="10.42578125" style="1" hidden="1" customWidth="1"/>
    <col min="1290" max="1290" width="11.28515625" style="1" hidden="1" customWidth="1"/>
    <col min="1291" max="1291" width="11.42578125" style="1" hidden="1" customWidth="1"/>
    <col min="1292" max="1292" width="10.7109375" style="1" hidden="1" customWidth="1"/>
    <col min="1293" max="1293" width="10.28515625" style="1" hidden="1" customWidth="1"/>
    <col min="1294" max="1294" width="11.5703125" style="1" hidden="1" customWidth="1"/>
    <col min="1295" max="1296" width="11.42578125" style="1" hidden="1" customWidth="1"/>
    <col min="1297" max="1297" width="10.85546875" style="1" hidden="1" customWidth="1"/>
    <col min="1298" max="1298" width="8.7109375" style="1" hidden="1" customWidth="1"/>
    <col min="1299" max="1299" width="6.28515625" style="1" hidden="1" customWidth="1"/>
    <col min="1300" max="1300" width="4" style="1" hidden="1" customWidth="1"/>
    <col min="1301" max="1301" width="8.7109375" style="1" hidden="1" customWidth="1"/>
    <col min="1302" max="1302" width="13.7109375" style="1" hidden="1" customWidth="1"/>
    <col min="1303" max="1303" width="20.7109375" style="1" hidden="1" customWidth="1"/>
    <col min="1304" max="1304" width="9.42578125" style="1" hidden="1" customWidth="1"/>
    <col min="1305" max="1305" width="3.28515625" style="1" hidden="1" customWidth="1"/>
    <col min="1306" max="1529" width="0" style="1" hidden="1"/>
    <col min="1530" max="1531" width="3.28515625" style="1" hidden="1" customWidth="1"/>
    <col min="1532" max="1532" width="30.7109375" style="1" hidden="1" customWidth="1"/>
    <col min="1533" max="1533" width="2.7109375" style="1" hidden="1" customWidth="1"/>
    <col min="1534" max="1534" width="12.85546875" style="1" hidden="1" customWidth="1"/>
    <col min="1535" max="1536" width="9.5703125" style="1" hidden="1" customWidth="1"/>
    <col min="1537" max="1537" width="7.42578125" style="1" hidden="1" customWidth="1"/>
    <col min="1538" max="1538" width="11.140625" style="1" hidden="1" customWidth="1"/>
    <col min="1539" max="1539" width="11.28515625" style="1" hidden="1" customWidth="1"/>
    <col min="1540" max="1540" width="11.7109375" style="1" hidden="1" customWidth="1"/>
    <col min="1541" max="1541" width="11.28515625" style="1" hidden="1" customWidth="1"/>
    <col min="1542" max="1542" width="10.7109375" style="1" hidden="1" customWidth="1"/>
    <col min="1543" max="1543" width="11.28515625" style="1" hidden="1" customWidth="1"/>
    <col min="1544" max="1544" width="11.42578125" style="1" hidden="1" customWidth="1"/>
    <col min="1545" max="1545" width="10.42578125" style="1" hidden="1" customWidth="1"/>
    <col min="1546" max="1546" width="11.28515625" style="1" hidden="1" customWidth="1"/>
    <col min="1547" max="1547" width="11.42578125" style="1" hidden="1" customWidth="1"/>
    <col min="1548" max="1548" width="10.7109375" style="1" hidden="1" customWidth="1"/>
    <col min="1549" max="1549" width="10.28515625" style="1" hidden="1" customWidth="1"/>
    <col min="1550" max="1550" width="11.5703125" style="1" hidden="1" customWidth="1"/>
    <col min="1551" max="1552" width="11.42578125" style="1" hidden="1" customWidth="1"/>
    <col min="1553" max="1553" width="10.85546875" style="1" hidden="1" customWidth="1"/>
    <col min="1554" max="1554" width="8.7109375" style="1" hidden="1" customWidth="1"/>
    <col min="1555" max="1555" width="6.28515625" style="1" hidden="1" customWidth="1"/>
    <col min="1556" max="1556" width="4" style="1" hidden="1" customWidth="1"/>
    <col min="1557" max="1557" width="8.7109375" style="1" hidden="1" customWidth="1"/>
    <col min="1558" max="1558" width="13.7109375" style="1" hidden="1" customWidth="1"/>
    <col min="1559" max="1559" width="20.7109375" style="1" hidden="1" customWidth="1"/>
    <col min="1560" max="1560" width="9.42578125" style="1" hidden="1" customWidth="1"/>
    <col min="1561" max="1561" width="3.28515625" style="1" hidden="1" customWidth="1"/>
    <col min="1562" max="1785" width="0" style="1" hidden="1"/>
    <col min="1786" max="1787" width="3.28515625" style="1" hidden="1" customWidth="1"/>
    <col min="1788" max="1788" width="30.7109375" style="1" hidden="1" customWidth="1"/>
    <col min="1789" max="1789" width="2.7109375" style="1" hidden="1" customWidth="1"/>
    <col min="1790" max="1790" width="12.85546875" style="1" hidden="1" customWidth="1"/>
    <col min="1791" max="1792" width="9.5703125" style="1" hidden="1" customWidth="1"/>
    <col min="1793" max="1793" width="7.42578125" style="1" hidden="1" customWidth="1"/>
    <col min="1794" max="1794" width="11.140625" style="1" hidden="1" customWidth="1"/>
    <col min="1795" max="1795" width="11.28515625" style="1" hidden="1" customWidth="1"/>
    <col min="1796" max="1796" width="11.7109375" style="1" hidden="1" customWidth="1"/>
    <col min="1797" max="1797" width="11.28515625" style="1" hidden="1" customWidth="1"/>
    <col min="1798" max="1798" width="10.7109375" style="1" hidden="1" customWidth="1"/>
    <col min="1799" max="1799" width="11.28515625" style="1" hidden="1" customWidth="1"/>
    <col min="1800" max="1800" width="11.42578125" style="1" hidden="1" customWidth="1"/>
    <col min="1801" max="1801" width="10.42578125" style="1" hidden="1" customWidth="1"/>
    <col min="1802" max="1802" width="11.28515625" style="1" hidden="1" customWidth="1"/>
    <col min="1803" max="1803" width="11.42578125" style="1" hidden="1" customWidth="1"/>
    <col min="1804" max="1804" width="10.7109375" style="1" hidden="1" customWidth="1"/>
    <col min="1805" max="1805" width="10.28515625" style="1" hidden="1" customWidth="1"/>
    <col min="1806" max="1806" width="11.5703125" style="1" hidden="1" customWidth="1"/>
    <col min="1807" max="1808" width="11.42578125" style="1" hidden="1" customWidth="1"/>
    <col min="1809" max="1809" width="10.85546875" style="1" hidden="1" customWidth="1"/>
    <col min="1810" max="1810" width="8.7109375" style="1" hidden="1" customWidth="1"/>
    <col min="1811" max="1811" width="6.28515625" style="1" hidden="1" customWidth="1"/>
    <col min="1812" max="1812" width="4" style="1" hidden="1" customWidth="1"/>
    <col min="1813" max="1813" width="8.7109375" style="1" hidden="1" customWidth="1"/>
    <col min="1814" max="1814" width="13.7109375" style="1" hidden="1" customWidth="1"/>
    <col min="1815" max="1815" width="20.7109375" style="1" hidden="1" customWidth="1"/>
    <col min="1816" max="1816" width="9.42578125" style="1" hidden="1" customWidth="1"/>
    <col min="1817" max="1817" width="3.28515625" style="1" hidden="1" customWidth="1"/>
    <col min="1818" max="2041" width="0" style="1" hidden="1"/>
    <col min="2042" max="2043" width="3.28515625" style="1" hidden="1" customWidth="1"/>
    <col min="2044" max="2044" width="30.7109375" style="1" hidden="1" customWidth="1"/>
    <col min="2045" max="2045" width="2.7109375" style="1" hidden="1" customWidth="1"/>
    <col min="2046" max="2046" width="12.85546875" style="1" hidden="1" customWidth="1"/>
    <col min="2047" max="2048" width="9.5703125" style="1" hidden="1" customWidth="1"/>
    <col min="2049" max="2049" width="7.42578125" style="1" hidden="1" customWidth="1"/>
    <col min="2050" max="2050" width="11.140625" style="1" hidden="1" customWidth="1"/>
    <col min="2051" max="2051" width="11.28515625" style="1" hidden="1" customWidth="1"/>
    <col min="2052" max="2052" width="11.7109375" style="1" hidden="1" customWidth="1"/>
    <col min="2053" max="2053" width="11.28515625" style="1" hidden="1" customWidth="1"/>
    <col min="2054" max="2054" width="10.7109375" style="1" hidden="1" customWidth="1"/>
    <col min="2055" max="2055" width="11.28515625" style="1" hidden="1" customWidth="1"/>
    <col min="2056" max="2056" width="11.42578125" style="1" hidden="1" customWidth="1"/>
    <col min="2057" max="2057" width="10.42578125" style="1" hidden="1" customWidth="1"/>
    <col min="2058" max="2058" width="11.28515625" style="1" hidden="1" customWidth="1"/>
    <col min="2059" max="2059" width="11.42578125" style="1" hidden="1" customWidth="1"/>
    <col min="2060" max="2060" width="10.7109375" style="1" hidden="1" customWidth="1"/>
    <col min="2061" max="2061" width="10.28515625" style="1" hidden="1" customWidth="1"/>
    <col min="2062" max="2062" width="11.5703125" style="1" hidden="1" customWidth="1"/>
    <col min="2063" max="2064" width="11.42578125" style="1" hidden="1" customWidth="1"/>
    <col min="2065" max="2065" width="10.85546875" style="1" hidden="1" customWidth="1"/>
    <col min="2066" max="2066" width="8.7109375" style="1" hidden="1" customWidth="1"/>
    <col min="2067" max="2067" width="6.28515625" style="1" hidden="1" customWidth="1"/>
    <col min="2068" max="2068" width="4" style="1" hidden="1" customWidth="1"/>
    <col min="2069" max="2069" width="8.7109375" style="1" hidden="1" customWidth="1"/>
    <col min="2070" max="2070" width="13.7109375" style="1" hidden="1" customWidth="1"/>
    <col min="2071" max="2071" width="20.7109375" style="1" hidden="1" customWidth="1"/>
    <col min="2072" max="2072" width="9.42578125" style="1" hidden="1" customWidth="1"/>
    <col min="2073" max="2073" width="3.28515625" style="1" hidden="1" customWidth="1"/>
    <col min="2074" max="2297" width="0" style="1" hidden="1"/>
    <col min="2298" max="2299" width="3.28515625" style="1" hidden="1" customWidth="1"/>
    <col min="2300" max="2300" width="30.7109375" style="1" hidden="1" customWidth="1"/>
    <col min="2301" max="2301" width="2.7109375" style="1" hidden="1" customWidth="1"/>
    <col min="2302" max="2302" width="12.85546875" style="1" hidden="1" customWidth="1"/>
    <col min="2303" max="2304" width="9.5703125" style="1" hidden="1" customWidth="1"/>
    <col min="2305" max="2305" width="7.42578125" style="1" hidden="1" customWidth="1"/>
    <col min="2306" max="2306" width="11.140625" style="1" hidden="1" customWidth="1"/>
    <col min="2307" max="2307" width="11.28515625" style="1" hidden="1" customWidth="1"/>
    <col min="2308" max="2308" width="11.7109375" style="1" hidden="1" customWidth="1"/>
    <col min="2309" max="2309" width="11.28515625" style="1" hidden="1" customWidth="1"/>
    <col min="2310" max="2310" width="10.7109375" style="1" hidden="1" customWidth="1"/>
    <col min="2311" max="2311" width="11.28515625" style="1" hidden="1" customWidth="1"/>
    <col min="2312" max="2312" width="11.42578125" style="1" hidden="1" customWidth="1"/>
    <col min="2313" max="2313" width="10.42578125" style="1" hidden="1" customWidth="1"/>
    <col min="2314" max="2314" width="11.28515625" style="1" hidden="1" customWidth="1"/>
    <col min="2315" max="2315" width="11.42578125" style="1" hidden="1" customWidth="1"/>
    <col min="2316" max="2316" width="10.7109375" style="1" hidden="1" customWidth="1"/>
    <col min="2317" max="2317" width="10.28515625" style="1" hidden="1" customWidth="1"/>
    <col min="2318" max="2318" width="11.5703125" style="1" hidden="1" customWidth="1"/>
    <col min="2319" max="2320" width="11.42578125" style="1" hidden="1" customWidth="1"/>
    <col min="2321" max="2321" width="10.85546875" style="1" hidden="1" customWidth="1"/>
    <col min="2322" max="2322" width="8.7109375" style="1" hidden="1" customWidth="1"/>
    <col min="2323" max="2323" width="6.28515625" style="1" hidden="1" customWidth="1"/>
    <col min="2324" max="2324" width="4" style="1" hidden="1" customWidth="1"/>
    <col min="2325" max="2325" width="8.7109375" style="1" hidden="1" customWidth="1"/>
    <col min="2326" max="2326" width="13.7109375" style="1" hidden="1" customWidth="1"/>
    <col min="2327" max="2327" width="20.7109375" style="1" hidden="1" customWidth="1"/>
    <col min="2328" max="2328" width="9.42578125" style="1" hidden="1" customWidth="1"/>
    <col min="2329" max="2329" width="3.28515625" style="1" hidden="1" customWidth="1"/>
    <col min="2330" max="2553" width="0" style="1" hidden="1"/>
    <col min="2554" max="2555" width="3.28515625" style="1" hidden="1" customWidth="1"/>
    <col min="2556" max="2556" width="30.7109375" style="1" hidden="1" customWidth="1"/>
    <col min="2557" max="2557" width="2.7109375" style="1" hidden="1" customWidth="1"/>
    <col min="2558" max="2558" width="12.85546875" style="1" hidden="1" customWidth="1"/>
    <col min="2559" max="2560" width="9.5703125" style="1" hidden="1" customWidth="1"/>
    <col min="2561" max="2561" width="7.42578125" style="1" hidden="1" customWidth="1"/>
    <col min="2562" max="2562" width="11.140625" style="1" hidden="1" customWidth="1"/>
    <col min="2563" max="2563" width="11.28515625" style="1" hidden="1" customWidth="1"/>
    <col min="2564" max="2564" width="11.7109375" style="1" hidden="1" customWidth="1"/>
    <col min="2565" max="2565" width="11.28515625" style="1" hidden="1" customWidth="1"/>
    <col min="2566" max="2566" width="10.7109375" style="1" hidden="1" customWidth="1"/>
    <col min="2567" max="2567" width="11.28515625" style="1" hidden="1" customWidth="1"/>
    <col min="2568" max="2568" width="11.42578125" style="1" hidden="1" customWidth="1"/>
    <col min="2569" max="2569" width="10.42578125" style="1" hidden="1" customWidth="1"/>
    <col min="2570" max="2570" width="11.28515625" style="1" hidden="1" customWidth="1"/>
    <col min="2571" max="2571" width="11.42578125" style="1" hidden="1" customWidth="1"/>
    <col min="2572" max="2572" width="10.7109375" style="1" hidden="1" customWidth="1"/>
    <col min="2573" max="2573" width="10.28515625" style="1" hidden="1" customWidth="1"/>
    <col min="2574" max="2574" width="11.5703125" style="1" hidden="1" customWidth="1"/>
    <col min="2575" max="2576" width="11.42578125" style="1" hidden="1" customWidth="1"/>
    <col min="2577" max="2577" width="10.85546875" style="1" hidden="1" customWidth="1"/>
    <col min="2578" max="2578" width="8.7109375" style="1" hidden="1" customWidth="1"/>
    <col min="2579" max="2579" width="6.28515625" style="1" hidden="1" customWidth="1"/>
    <col min="2580" max="2580" width="4" style="1" hidden="1" customWidth="1"/>
    <col min="2581" max="2581" width="8.7109375" style="1" hidden="1" customWidth="1"/>
    <col min="2582" max="2582" width="13.7109375" style="1" hidden="1" customWidth="1"/>
    <col min="2583" max="2583" width="20.7109375" style="1" hidden="1" customWidth="1"/>
    <col min="2584" max="2584" width="9.42578125" style="1" hidden="1" customWidth="1"/>
    <col min="2585" max="2585" width="3.28515625" style="1" hidden="1" customWidth="1"/>
    <col min="2586" max="2809" width="0" style="1" hidden="1"/>
    <col min="2810" max="2811" width="3.28515625" style="1" hidden="1" customWidth="1"/>
    <col min="2812" max="2812" width="30.7109375" style="1" hidden="1" customWidth="1"/>
    <col min="2813" max="2813" width="2.7109375" style="1" hidden="1" customWidth="1"/>
    <col min="2814" max="2814" width="12.85546875" style="1" hidden="1" customWidth="1"/>
    <col min="2815" max="2816" width="9.5703125" style="1" hidden="1" customWidth="1"/>
    <col min="2817" max="2817" width="7.42578125" style="1" hidden="1" customWidth="1"/>
    <col min="2818" max="2818" width="11.140625" style="1" hidden="1" customWidth="1"/>
    <col min="2819" max="2819" width="11.28515625" style="1" hidden="1" customWidth="1"/>
    <col min="2820" max="2820" width="11.7109375" style="1" hidden="1" customWidth="1"/>
    <col min="2821" max="2821" width="11.28515625" style="1" hidden="1" customWidth="1"/>
    <col min="2822" max="2822" width="10.7109375" style="1" hidden="1" customWidth="1"/>
    <col min="2823" max="2823" width="11.28515625" style="1" hidden="1" customWidth="1"/>
    <col min="2824" max="2824" width="11.42578125" style="1" hidden="1" customWidth="1"/>
    <col min="2825" max="2825" width="10.42578125" style="1" hidden="1" customWidth="1"/>
    <col min="2826" max="2826" width="11.28515625" style="1" hidden="1" customWidth="1"/>
    <col min="2827" max="2827" width="11.42578125" style="1" hidden="1" customWidth="1"/>
    <col min="2828" max="2828" width="10.7109375" style="1" hidden="1" customWidth="1"/>
    <col min="2829" max="2829" width="10.28515625" style="1" hidden="1" customWidth="1"/>
    <col min="2830" max="2830" width="11.5703125" style="1" hidden="1" customWidth="1"/>
    <col min="2831" max="2832" width="11.42578125" style="1" hidden="1" customWidth="1"/>
    <col min="2833" max="2833" width="10.85546875" style="1" hidden="1" customWidth="1"/>
    <col min="2834" max="2834" width="8.7109375" style="1" hidden="1" customWidth="1"/>
    <col min="2835" max="2835" width="6.28515625" style="1" hidden="1" customWidth="1"/>
    <col min="2836" max="2836" width="4" style="1" hidden="1" customWidth="1"/>
    <col min="2837" max="2837" width="8.7109375" style="1" hidden="1" customWidth="1"/>
    <col min="2838" max="2838" width="13.7109375" style="1" hidden="1" customWidth="1"/>
    <col min="2839" max="2839" width="20.7109375" style="1" hidden="1" customWidth="1"/>
    <col min="2840" max="2840" width="9.42578125" style="1" hidden="1" customWidth="1"/>
    <col min="2841" max="2841" width="3.28515625" style="1" hidden="1" customWidth="1"/>
    <col min="2842" max="3065" width="0" style="1" hidden="1"/>
    <col min="3066" max="3067" width="3.28515625" style="1" hidden="1" customWidth="1"/>
    <col min="3068" max="3068" width="30.7109375" style="1" hidden="1" customWidth="1"/>
    <col min="3069" max="3069" width="2.7109375" style="1" hidden="1" customWidth="1"/>
    <col min="3070" max="3070" width="12.85546875" style="1" hidden="1" customWidth="1"/>
    <col min="3071" max="3072" width="9.5703125" style="1" hidden="1" customWidth="1"/>
    <col min="3073" max="3073" width="7.42578125" style="1" hidden="1" customWidth="1"/>
    <col min="3074" max="3074" width="11.140625" style="1" hidden="1" customWidth="1"/>
    <col min="3075" max="3075" width="11.28515625" style="1" hidden="1" customWidth="1"/>
    <col min="3076" max="3076" width="11.7109375" style="1" hidden="1" customWidth="1"/>
    <col min="3077" max="3077" width="11.28515625" style="1" hidden="1" customWidth="1"/>
    <col min="3078" max="3078" width="10.7109375" style="1" hidden="1" customWidth="1"/>
    <col min="3079" max="3079" width="11.28515625" style="1" hidden="1" customWidth="1"/>
    <col min="3080" max="3080" width="11.42578125" style="1" hidden="1" customWidth="1"/>
    <col min="3081" max="3081" width="10.42578125" style="1" hidden="1" customWidth="1"/>
    <col min="3082" max="3082" width="11.28515625" style="1" hidden="1" customWidth="1"/>
    <col min="3083" max="3083" width="11.42578125" style="1" hidden="1" customWidth="1"/>
    <col min="3084" max="3084" width="10.7109375" style="1" hidden="1" customWidth="1"/>
    <col min="3085" max="3085" width="10.28515625" style="1" hidden="1" customWidth="1"/>
    <col min="3086" max="3086" width="11.5703125" style="1" hidden="1" customWidth="1"/>
    <col min="3087" max="3088" width="11.42578125" style="1" hidden="1" customWidth="1"/>
    <col min="3089" max="3089" width="10.85546875" style="1" hidden="1" customWidth="1"/>
    <col min="3090" max="3090" width="8.7109375" style="1" hidden="1" customWidth="1"/>
    <col min="3091" max="3091" width="6.28515625" style="1" hidden="1" customWidth="1"/>
    <col min="3092" max="3092" width="4" style="1" hidden="1" customWidth="1"/>
    <col min="3093" max="3093" width="8.7109375" style="1" hidden="1" customWidth="1"/>
    <col min="3094" max="3094" width="13.7109375" style="1" hidden="1" customWidth="1"/>
    <col min="3095" max="3095" width="20.7109375" style="1" hidden="1" customWidth="1"/>
    <col min="3096" max="3096" width="9.42578125" style="1" hidden="1" customWidth="1"/>
    <col min="3097" max="3097" width="3.28515625" style="1" hidden="1" customWidth="1"/>
    <col min="3098" max="3321" width="0" style="1" hidden="1"/>
    <col min="3322" max="3323" width="3.28515625" style="1" hidden="1" customWidth="1"/>
    <col min="3324" max="3324" width="30.7109375" style="1" hidden="1" customWidth="1"/>
    <col min="3325" max="3325" width="2.7109375" style="1" hidden="1" customWidth="1"/>
    <col min="3326" max="3326" width="12.85546875" style="1" hidden="1" customWidth="1"/>
    <col min="3327" max="3328" width="9.5703125" style="1" hidden="1" customWidth="1"/>
    <col min="3329" max="3329" width="7.42578125" style="1" hidden="1" customWidth="1"/>
    <col min="3330" max="3330" width="11.140625" style="1" hidden="1" customWidth="1"/>
    <col min="3331" max="3331" width="11.28515625" style="1" hidden="1" customWidth="1"/>
    <col min="3332" max="3332" width="11.7109375" style="1" hidden="1" customWidth="1"/>
    <col min="3333" max="3333" width="11.28515625" style="1" hidden="1" customWidth="1"/>
    <col min="3334" max="3334" width="10.7109375" style="1" hidden="1" customWidth="1"/>
    <col min="3335" max="3335" width="11.28515625" style="1" hidden="1" customWidth="1"/>
    <col min="3336" max="3336" width="11.42578125" style="1" hidden="1" customWidth="1"/>
    <col min="3337" max="3337" width="10.42578125" style="1" hidden="1" customWidth="1"/>
    <col min="3338" max="3338" width="11.28515625" style="1" hidden="1" customWidth="1"/>
    <col min="3339" max="3339" width="11.42578125" style="1" hidden="1" customWidth="1"/>
    <col min="3340" max="3340" width="10.7109375" style="1" hidden="1" customWidth="1"/>
    <col min="3341" max="3341" width="10.28515625" style="1" hidden="1" customWidth="1"/>
    <col min="3342" max="3342" width="11.5703125" style="1" hidden="1" customWidth="1"/>
    <col min="3343" max="3344" width="11.42578125" style="1" hidden="1" customWidth="1"/>
    <col min="3345" max="3345" width="10.85546875" style="1" hidden="1" customWidth="1"/>
    <col min="3346" max="3346" width="8.7109375" style="1" hidden="1" customWidth="1"/>
    <col min="3347" max="3347" width="6.28515625" style="1" hidden="1" customWidth="1"/>
    <col min="3348" max="3348" width="4" style="1" hidden="1" customWidth="1"/>
    <col min="3349" max="3349" width="8.7109375" style="1" hidden="1" customWidth="1"/>
    <col min="3350" max="3350" width="13.7109375" style="1" hidden="1" customWidth="1"/>
    <col min="3351" max="3351" width="20.7109375" style="1" hidden="1" customWidth="1"/>
    <col min="3352" max="3352" width="9.42578125" style="1" hidden="1" customWidth="1"/>
    <col min="3353" max="3353" width="3.28515625" style="1" hidden="1" customWidth="1"/>
    <col min="3354" max="3577" width="0" style="1" hidden="1"/>
    <col min="3578" max="3579" width="3.28515625" style="1" hidden="1" customWidth="1"/>
    <col min="3580" max="3580" width="30.7109375" style="1" hidden="1" customWidth="1"/>
    <col min="3581" max="3581" width="2.7109375" style="1" hidden="1" customWidth="1"/>
    <col min="3582" max="3582" width="12.85546875" style="1" hidden="1" customWidth="1"/>
    <col min="3583" max="3584" width="9.5703125" style="1" hidden="1" customWidth="1"/>
    <col min="3585" max="3585" width="7.42578125" style="1" hidden="1" customWidth="1"/>
    <col min="3586" max="3586" width="11.140625" style="1" hidden="1" customWidth="1"/>
    <col min="3587" max="3587" width="11.28515625" style="1" hidden="1" customWidth="1"/>
    <col min="3588" max="3588" width="11.7109375" style="1" hidden="1" customWidth="1"/>
    <col min="3589" max="3589" width="11.28515625" style="1" hidden="1" customWidth="1"/>
    <col min="3590" max="3590" width="10.7109375" style="1" hidden="1" customWidth="1"/>
    <col min="3591" max="3591" width="11.28515625" style="1" hidden="1" customWidth="1"/>
    <col min="3592" max="3592" width="11.42578125" style="1" hidden="1" customWidth="1"/>
    <col min="3593" max="3593" width="10.42578125" style="1" hidden="1" customWidth="1"/>
    <col min="3594" max="3594" width="11.28515625" style="1" hidden="1" customWidth="1"/>
    <col min="3595" max="3595" width="11.42578125" style="1" hidden="1" customWidth="1"/>
    <col min="3596" max="3596" width="10.7109375" style="1" hidden="1" customWidth="1"/>
    <col min="3597" max="3597" width="10.28515625" style="1" hidden="1" customWidth="1"/>
    <col min="3598" max="3598" width="11.5703125" style="1" hidden="1" customWidth="1"/>
    <col min="3599" max="3600" width="11.42578125" style="1" hidden="1" customWidth="1"/>
    <col min="3601" max="3601" width="10.85546875" style="1" hidden="1" customWidth="1"/>
    <col min="3602" max="3602" width="8.7109375" style="1" hidden="1" customWidth="1"/>
    <col min="3603" max="3603" width="6.28515625" style="1" hidden="1" customWidth="1"/>
    <col min="3604" max="3604" width="4" style="1" hidden="1" customWidth="1"/>
    <col min="3605" max="3605" width="8.7109375" style="1" hidden="1" customWidth="1"/>
    <col min="3606" max="3606" width="13.7109375" style="1" hidden="1" customWidth="1"/>
    <col min="3607" max="3607" width="20.7109375" style="1" hidden="1" customWidth="1"/>
    <col min="3608" max="3608" width="9.42578125" style="1" hidden="1" customWidth="1"/>
    <col min="3609" max="3609" width="3.28515625" style="1" hidden="1" customWidth="1"/>
    <col min="3610" max="3833" width="0" style="1" hidden="1"/>
    <col min="3834" max="3835" width="3.28515625" style="1" hidden="1" customWidth="1"/>
    <col min="3836" max="3836" width="30.7109375" style="1" hidden="1" customWidth="1"/>
    <col min="3837" max="3837" width="2.7109375" style="1" hidden="1" customWidth="1"/>
    <col min="3838" max="3838" width="12.85546875" style="1" hidden="1" customWidth="1"/>
    <col min="3839" max="3840" width="9.5703125" style="1" hidden="1" customWidth="1"/>
    <col min="3841" max="3841" width="7.42578125" style="1" hidden="1" customWidth="1"/>
    <col min="3842" max="3842" width="11.140625" style="1" hidden="1" customWidth="1"/>
    <col min="3843" max="3843" width="11.28515625" style="1" hidden="1" customWidth="1"/>
    <col min="3844" max="3844" width="11.7109375" style="1" hidden="1" customWidth="1"/>
    <col min="3845" max="3845" width="11.28515625" style="1" hidden="1" customWidth="1"/>
    <col min="3846" max="3846" width="10.7109375" style="1" hidden="1" customWidth="1"/>
    <col min="3847" max="3847" width="11.28515625" style="1" hidden="1" customWidth="1"/>
    <col min="3848" max="3848" width="11.42578125" style="1" hidden="1" customWidth="1"/>
    <col min="3849" max="3849" width="10.42578125" style="1" hidden="1" customWidth="1"/>
    <col min="3850" max="3850" width="11.28515625" style="1" hidden="1" customWidth="1"/>
    <col min="3851" max="3851" width="11.42578125" style="1" hidden="1" customWidth="1"/>
    <col min="3852" max="3852" width="10.7109375" style="1" hidden="1" customWidth="1"/>
    <col min="3853" max="3853" width="10.28515625" style="1" hidden="1" customWidth="1"/>
    <col min="3854" max="3854" width="11.5703125" style="1" hidden="1" customWidth="1"/>
    <col min="3855" max="3856" width="11.42578125" style="1" hidden="1" customWidth="1"/>
    <col min="3857" max="3857" width="10.85546875" style="1" hidden="1" customWidth="1"/>
    <col min="3858" max="3858" width="8.7109375" style="1" hidden="1" customWidth="1"/>
    <col min="3859" max="3859" width="6.28515625" style="1" hidden="1" customWidth="1"/>
    <col min="3860" max="3860" width="4" style="1" hidden="1" customWidth="1"/>
    <col min="3861" max="3861" width="8.7109375" style="1" hidden="1" customWidth="1"/>
    <col min="3862" max="3862" width="13.7109375" style="1" hidden="1" customWidth="1"/>
    <col min="3863" max="3863" width="20.7109375" style="1" hidden="1" customWidth="1"/>
    <col min="3864" max="3864" width="9.42578125" style="1" hidden="1" customWidth="1"/>
    <col min="3865" max="3865" width="3.28515625" style="1" hidden="1" customWidth="1"/>
    <col min="3866" max="4089" width="0" style="1" hidden="1"/>
    <col min="4090" max="4091" width="3.28515625" style="1" hidden="1" customWidth="1"/>
    <col min="4092" max="4092" width="30.7109375" style="1" hidden="1" customWidth="1"/>
    <col min="4093" max="4093" width="2.7109375" style="1" hidden="1" customWidth="1"/>
    <col min="4094" max="4094" width="12.85546875" style="1" hidden="1" customWidth="1"/>
    <col min="4095" max="4096" width="9.5703125" style="1" hidden="1" customWidth="1"/>
    <col min="4097" max="4097" width="7.42578125" style="1" hidden="1" customWidth="1"/>
    <col min="4098" max="4098" width="11.140625" style="1" hidden="1" customWidth="1"/>
    <col min="4099" max="4099" width="11.28515625" style="1" hidden="1" customWidth="1"/>
    <col min="4100" max="4100" width="11.7109375" style="1" hidden="1" customWidth="1"/>
    <col min="4101" max="4101" width="11.28515625" style="1" hidden="1" customWidth="1"/>
    <col min="4102" max="4102" width="10.7109375" style="1" hidden="1" customWidth="1"/>
    <col min="4103" max="4103" width="11.28515625" style="1" hidden="1" customWidth="1"/>
    <col min="4104" max="4104" width="11.42578125" style="1" hidden="1" customWidth="1"/>
    <col min="4105" max="4105" width="10.42578125" style="1" hidden="1" customWidth="1"/>
    <col min="4106" max="4106" width="11.28515625" style="1" hidden="1" customWidth="1"/>
    <col min="4107" max="4107" width="11.42578125" style="1" hidden="1" customWidth="1"/>
    <col min="4108" max="4108" width="10.7109375" style="1" hidden="1" customWidth="1"/>
    <col min="4109" max="4109" width="10.28515625" style="1" hidden="1" customWidth="1"/>
    <col min="4110" max="4110" width="11.5703125" style="1" hidden="1" customWidth="1"/>
    <col min="4111" max="4112" width="11.42578125" style="1" hidden="1" customWidth="1"/>
    <col min="4113" max="4113" width="10.85546875" style="1" hidden="1" customWidth="1"/>
    <col min="4114" max="4114" width="8.7109375" style="1" hidden="1" customWidth="1"/>
    <col min="4115" max="4115" width="6.28515625" style="1" hidden="1" customWidth="1"/>
    <col min="4116" max="4116" width="4" style="1" hidden="1" customWidth="1"/>
    <col min="4117" max="4117" width="8.7109375" style="1" hidden="1" customWidth="1"/>
    <col min="4118" max="4118" width="13.7109375" style="1" hidden="1" customWidth="1"/>
    <col min="4119" max="4119" width="20.7109375" style="1" hidden="1" customWidth="1"/>
    <col min="4120" max="4120" width="9.42578125" style="1" hidden="1" customWidth="1"/>
    <col min="4121" max="4121" width="3.28515625" style="1" hidden="1" customWidth="1"/>
    <col min="4122" max="4345" width="0" style="1" hidden="1"/>
    <col min="4346" max="4347" width="3.28515625" style="1" hidden="1" customWidth="1"/>
    <col min="4348" max="4348" width="30.7109375" style="1" hidden="1" customWidth="1"/>
    <col min="4349" max="4349" width="2.7109375" style="1" hidden="1" customWidth="1"/>
    <col min="4350" max="4350" width="12.85546875" style="1" hidden="1" customWidth="1"/>
    <col min="4351" max="4352" width="9.5703125" style="1" hidden="1" customWidth="1"/>
    <col min="4353" max="4353" width="7.42578125" style="1" hidden="1" customWidth="1"/>
    <col min="4354" max="4354" width="11.140625" style="1" hidden="1" customWidth="1"/>
    <col min="4355" max="4355" width="11.28515625" style="1" hidden="1" customWidth="1"/>
    <col min="4356" max="4356" width="11.7109375" style="1" hidden="1" customWidth="1"/>
    <col min="4357" max="4357" width="11.28515625" style="1" hidden="1" customWidth="1"/>
    <col min="4358" max="4358" width="10.7109375" style="1" hidden="1" customWidth="1"/>
    <col min="4359" max="4359" width="11.28515625" style="1" hidden="1" customWidth="1"/>
    <col min="4360" max="4360" width="11.42578125" style="1" hidden="1" customWidth="1"/>
    <col min="4361" max="4361" width="10.42578125" style="1" hidden="1" customWidth="1"/>
    <col min="4362" max="4362" width="11.28515625" style="1" hidden="1" customWidth="1"/>
    <col min="4363" max="4363" width="11.42578125" style="1" hidden="1" customWidth="1"/>
    <col min="4364" max="4364" width="10.7109375" style="1" hidden="1" customWidth="1"/>
    <col min="4365" max="4365" width="10.28515625" style="1" hidden="1" customWidth="1"/>
    <col min="4366" max="4366" width="11.5703125" style="1" hidden="1" customWidth="1"/>
    <col min="4367" max="4368" width="11.42578125" style="1" hidden="1" customWidth="1"/>
    <col min="4369" max="4369" width="10.85546875" style="1" hidden="1" customWidth="1"/>
    <col min="4370" max="4370" width="8.7109375" style="1" hidden="1" customWidth="1"/>
    <col min="4371" max="4371" width="6.28515625" style="1" hidden="1" customWidth="1"/>
    <col min="4372" max="4372" width="4" style="1" hidden="1" customWidth="1"/>
    <col min="4373" max="4373" width="8.7109375" style="1" hidden="1" customWidth="1"/>
    <col min="4374" max="4374" width="13.7109375" style="1" hidden="1" customWidth="1"/>
    <col min="4375" max="4375" width="20.7109375" style="1" hidden="1" customWidth="1"/>
    <col min="4376" max="4376" width="9.42578125" style="1" hidden="1" customWidth="1"/>
    <col min="4377" max="4377" width="3.28515625" style="1" hidden="1" customWidth="1"/>
    <col min="4378" max="4601" width="0" style="1" hidden="1"/>
    <col min="4602" max="4603" width="3.28515625" style="1" hidden="1" customWidth="1"/>
    <col min="4604" max="4604" width="30.7109375" style="1" hidden="1" customWidth="1"/>
    <col min="4605" max="4605" width="2.7109375" style="1" hidden="1" customWidth="1"/>
    <col min="4606" max="4606" width="12.85546875" style="1" hidden="1" customWidth="1"/>
    <col min="4607" max="4608" width="9.5703125" style="1" hidden="1" customWidth="1"/>
    <col min="4609" max="4609" width="7.42578125" style="1" hidden="1" customWidth="1"/>
    <col min="4610" max="4610" width="11.140625" style="1" hidden="1" customWidth="1"/>
    <col min="4611" max="4611" width="11.28515625" style="1" hidden="1" customWidth="1"/>
    <col min="4612" max="4612" width="11.7109375" style="1" hidden="1" customWidth="1"/>
    <col min="4613" max="4613" width="11.28515625" style="1" hidden="1" customWidth="1"/>
    <col min="4614" max="4614" width="10.7109375" style="1" hidden="1" customWidth="1"/>
    <col min="4615" max="4615" width="11.28515625" style="1" hidden="1" customWidth="1"/>
    <col min="4616" max="4616" width="11.42578125" style="1" hidden="1" customWidth="1"/>
    <col min="4617" max="4617" width="10.42578125" style="1" hidden="1" customWidth="1"/>
    <col min="4618" max="4618" width="11.28515625" style="1" hidden="1" customWidth="1"/>
    <col min="4619" max="4619" width="11.42578125" style="1" hidden="1" customWidth="1"/>
    <col min="4620" max="4620" width="10.7109375" style="1" hidden="1" customWidth="1"/>
    <col min="4621" max="4621" width="10.28515625" style="1" hidden="1" customWidth="1"/>
    <col min="4622" max="4622" width="11.5703125" style="1" hidden="1" customWidth="1"/>
    <col min="4623" max="4624" width="11.42578125" style="1" hidden="1" customWidth="1"/>
    <col min="4625" max="4625" width="10.85546875" style="1" hidden="1" customWidth="1"/>
    <col min="4626" max="4626" width="8.7109375" style="1" hidden="1" customWidth="1"/>
    <col min="4627" max="4627" width="6.28515625" style="1" hidden="1" customWidth="1"/>
    <col min="4628" max="4628" width="4" style="1" hidden="1" customWidth="1"/>
    <col min="4629" max="4629" width="8.7109375" style="1" hidden="1" customWidth="1"/>
    <col min="4630" max="4630" width="13.7109375" style="1" hidden="1" customWidth="1"/>
    <col min="4631" max="4631" width="20.7109375" style="1" hidden="1" customWidth="1"/>
    <col min="4632" max="4632" width="9.42578125" style="1" hidden="1" customWidth="1"/>
    <col min="4633" max="4633" width="3.28515625" style="1" hidden="1" customWidth="1"/>
    <col min="4634" max="4857" width="0" style="1" hidden="1"/>
    <col min="4858" max="4859" width="3.28515625" style="1" hidden="1" customWidth="1"/>
    <col min="4860" max="4860" width="30.7109375" style="1" hidden="1" customWidth="1"/>
    <col min="4861" max="4861" width="2.7109375" style="1" hidden="1" customWidth="1"/>
    <col min="4862" max="4862" width="12.85546875" style="1" hidden="1" customWidth="1"/>
    <col min="4863" max="4864" width="9.5703125" style="1" hidden="1" customWidth="1"/>
    <col min="4865" max="4865" width="7.42578125" style="1" hidden="1" customWidth="1"/>
    <col min="4866" max="4866" width="11.140625" style="1" hidden="1" customWidth="1"/>
    <col min="4867" max="4867" width="11.28515625" style="1" hidden="1" customWidth="1"/>
    <col min="4868" max="4868" width="11.7109375" style="1" hidden="1" customWidth="1"/>
    <col min="4869" max="4869" width="11.28515625" style="1" hidden="1" customWidth="1"/>
    <col min="4870" max="4870" width="10.7109375" style="1" hidden="1" customWidth="1"/>
    <col min="4871" max="4871" width="11.28515625" style="1" hidden="1" customWidth="1"/>
    <col min="4872" max="4872" width="11.42578125" style="1" hidden="1" customWidth="1"/>
    <col min="4873" max="4873" width="10.42578125" style="1" hidden="1" customWidth="1"/>
    <col min="4874" max="4874" width="11.28515625" style="1" hidden="1" customWidth="1"/>
    <col min="4875" max="4875" width="11.42578125" style="1" hidden="1" customWidth="1"/>
    <col min="4876" max="4876" width="10.7109375" style="1" hidden="1" customWidth="1"/>
    <col min="4877" max="4877" width="10.28515625" style="1" hidden="1" customWidth="1"/>
    <col min="4878" max="4878" width="11.5703125" style="1" hidden="1" customWidth="1"/>
    <col min="4879" max="4880" width="11.42578125" style="1" hidden="1" customWidth="1"/>
    <col min="4881" max="4881" width="10.85546875" style="1" hidden="1" customWidth="1"/>
    <col min="4882" max="4882" width="8.7109375" style="1" hidden="1" customWidth="1"/>
    <col min="4883" max="4883" width="6.28515625" style="1" hidden="1" customWidth="1"/>
    <col min="4884" max="4884" width="4" style="1" hidden="1" customWidth="1"/>
    <col min="4885" max="4885" width="8.7109375" style="1" hidden="1" customWidth="1"/>
    <col min="4886" max="4886" width="13.7109375" style="1" hidden="1" customWidth="1"/>
    <col min="4887" max="4887" width="20.7109375" style="1" hidden="1" customWidth="1"/>
    <col min="4888" max="4888" width="9.42578125" style="1" hidden="1" customWidth="1"/>
    <col min="4889" max="4889" width="3.28515625" style="1" hidden="1" customWidth="1"/>
    <col min="4890" max="5113" width="0" style="1" hidden="1"/>
    <col min="5114" max="5115" width="3.28515625" style="1" hidden="1" customWidth="1"/>
    <col min="5116" max="5116" width="30.7109375" style="1" hidden="1" customWidth="1"/>
    <col min="5117" max="5117" width="2.7109375" style="1" hidden="1" customWidth="1"/>
    <col min="5118" max="5118" width="12.85546875" style="1" hidden="1" customWidth="1"/>
    <col min="5119" max="5120" width="9.5703125" style="1" hidden="1" customWidth="1"/>
    <col min="5121" max="5121" width="7.42578125" style="1" hidden="1" customWidth="1"/>
    <col min="5122" max="5122" width="11.140625" style="1" hidden="1" customWidth="1"/>
    <col min="5123" max="5123" width="11.28515625" style="1" hidden="1" customWidth="1"/>
    <col min="5124" max="5124" width="11.7109375" style="1" hidden="1" customWidth="1"/>
    <col min="5125" max="5125" width="11.28515625" style="1" hidden="1" customWidth="1"/>
    <col min="5126" max="5126" width="10.7109375" style="1" hidden="1" customWidth="1"/>
    <col min="5127" max="5127" width="11.28515625" style="1" hidden="1" customWidth="1"/>
    <col min="5128" max="5128" width="11.42578125" style="1" hidden="1" customWidth="1"/>
    <col min="5129" max="5129" width="10.42578125" style="1" hidden="1" customWidth="1"/>
    <col min="5130" max="5130" width="11.28515625" style="1" hidden="1" customWidth="1"/>
    <col min="5131" max="5131" width="11.42578125" style="1" hidden="1" customWidth="1"/>
    <col min="5132" max="5132" width="10.7109375" style="1" hidden="1" customWidth="1"/>
    <col min="5133" max="5133" width="10.28515625" style="1" hidden="1" customWidth="1"/>
    <col min="5134" max="5134" width="11.5703125" style="1" hidden="1" customWidth="1"/>
    <col min="5135" max="5136" width="11.42578125" style="1" hidden="1" customWidth="1"/>
    <col min="5137" max="5137" width="10.85546875" style="1" hidden="1" customWidth="1"/>
    <col min="5138" max="5138" width="8.7109375" style="1" hidden="1" customWidth="1"/>
    <col min="5139" max="5139" width="6.28515625" style="1" hidden="1" customWidth="1"/>
    <col min="5140" max="5140" width="4" style="1" hidden="1" customWidth="1"/>
    <col min="5141" max="5141" width="8.7109375" style="1" hidden="1" customWidth="1"/>
    <col min="5142" max="5142" width="13.7109375" style="1" hidden="1" customWidth="1"/>
    <col min="5143" max="5143" width="20.7109375" style="1" hidden="1" customWidth="1"/>
    <col min="5144" max="5144" width="9.42578125" style="1" hidden="1" customWidth="1"/>
    <col min="5145" max="5145" width="3.28515625" style="1" hidden="1" customWidth="1"/>
    <col min="5146" max="5369" width="0" style="1" hidden="1"/>
    <col min="5370" max="5371" width="3.28515625" style="1" hidden="1" customWidth="1"/>
    <col min="5372" max="5372" width="30.7109375" style="1" hidden="1" customWidth="1"/>
    <col min="5373" max="5373" width="2.7109375" style="1" hidden="1" customWidth="1"/>
    <col min="5374" max="5374" width="12.85546875" style="1" hidden="1" customWidth="1"/>
    <col min="5375" max="5376" width="9.5703125" style="1" hidden="1" customWidth="1"/>
    <col min="5377" max="5377" width="7.42578125" style="1" hidden="1" customWidth="1"/>
    <col min="5378" max="5378" width="11.140625" style="1" hidden="1" customWidth="1"/>
    <col min="5379" max="5379" width="11.28515625" style="1" hidden="1" customWidth="1"/>
    <col min="5380" max="5380" width="11.7109375" style="1" hidden="1" customWidth="1"/>
    <col min="5381" max="5381" width="11.28515625" style="1" hidden="1" customWidth="1"/>
    <col min="5382" max="5382" width="10.7109375" style="1" hidden="1" customWidth="1"/>
    <col min="5383" max="5383" width="11.28515625" style="1" hidden="1" customWidth="1"/>
    <col min="5384" max="5384" width="11.42578125" style="1" hidden="1" customWidth="1"/>
    <col min="5385" max="5385" width="10.42578125" style="1" hidden="1" customWidth="1"/>
    <col min="5386" max="5386" width="11.28515625" style="1" hidden="1" customWidth="1"/>
    <col min="5387" max="5387" width="11.42578125" style="1" hidden="1" customWidth="1"/>
    <col min="5388" max="5388" width="10.7109375" style="1" hidden="1" customWidth="1"/>
    <col min="5389" max="5389" width="10.28515625" style="1" hidden="1" customWidth="1"/>
    <col min="5390" max="5390" width="11.5703125" style="1" hidden="1" customWidth="1"/>
    <col min="5391" max="5392" width="11.42578125" style="1" hidden="1" customWidth="1"/>
    <col min="5393" max="5393" width="10.85546875" style="1" hidden="1" customWidth="1"/>
    <col min="5394" max="5394" width="8.7109375" style="1" hidden="1" customWidth="1"/>
    <col min="5395" max="5395" width="6.28515625" style="1" hidden="1" customWidth="1"/>
    <col min="5396" max="5396" width="4" style="1" hidden="1" customWidth="1"/>
    <col min="5397" max="5397" width="8.7109375" style="1" hidden="1" customWidth="1"/>
    <col min="5398" max="5398" width="13.7109375" style="1" hidden="1" customWidth="1"/>
    <col min="5399" max="5399" width="20.7109375" style="1" hidden="1" customWidth="1"/>
    <col min="5400" max="5400" width="9.42578125" style="1" hidden="1" customWidth="1"/>
    <col min="5401" max="5401" width="3.28515625" style="1" hidden="1" customWidth="1"/>
    <col min="5402" max="5625" width="0" style="1" hidden="1"/>
    <col min="5626" max="5627" width="3.28515625" style="1" hidden="1" customWidth="1"/>
    <col min="5628" max="5628" width="30.7109375" style="1" hidden="1" customWidth="1"/>
    <col min="5629" max="5629" width="2.7109375" style="1" hidden="1" customWidth="1"/>
    <col min="5630" max="5630" width="12.85546875" style="1" hidden="1" customWidth="1"/>
    <col min="5631" max="5632" width="9.5703125" style="1" hidden="1" customWidth="1"/>
    <col min="5633" max="5633" width="7.42578125" style="1" hidden="1" customWidth="1"/>
    <col min="5634" max="5634" width="11.140625" style="1" hidden="1" customWidth="1"/>
    <col min="5635" max="5635" width="11.28515625" style="1" hidden="1" customWidth="1"/>
    <col min="5636" max="5636" width="11.7109375" style="1" hidden="1" customWidth="1"/>
    <col min="5637" max="5637" width="11.28515625" style="1" hidden="1" customWidth="1"/>
    <col min="5638" max="5638" width="10.7109375" style="1" hidden="1" customWidth="1"/>
    <col min="5639" max="5639" width="11.28515625" style="1" hidden="1" customWidth="1"/>
    <col min="5640" max="5640" width="11.42578125" style="1" hidden="1" customWidth="1"/>
    <col min="5641" max="5641" width="10.42578125" style="1" hidden="1" customWidth="1"/>
    <col min="5642" max="5642" width="11.28515625" style="1" hidden="1" customWidth="1"/>
    <col min="5643" max="5643" width="11.42578125" style="1" hidden="1" customWidth="1"/>
    <col min="5644" max="5644" width="10.7109375" style="1" hidden="1" customWidth="1"/>
    <col min="5645" max="5645" width="10.28515625" style="1" hidden="1" customWidth="1"/>
    <col min="5646" max="5646" width="11.5703125" style="1" hidden="1" customWidth="1"/>
    <col min="5647" max="5648" width="11.42578125" style="1" hidden="1" customWidth="1"/>
    <col min="5649" max="5649" width="10.85546875" style="1" hidden="1" customWidth="1"/>
    <col min="5650" max="5650" width="8.7109375" style="1" hidden="1" customWidth="1"/>
    <col min="5651" max="5651" width="6.28515625" style="1" hidden="1" customWidth="1"/>
    <col min="5652" max="5652" width="4" style="1" hidden="1" customWidth="1"/>
    <col min="5653" max="5653" width="8.7109375" style="1" hidden="1" customWidth="1"/>
    <col min="5654" max="5654" width="13.7109375" style="1" hidden="1" customWidth="1"/>
    <col min="5655" max="5655" width="20.7109375" style="1" hidden="1" customWidth="1"/>
    <col min="5656" max="5656" width="9.42578125" style="1" hidden="1" customWidth="1"/>
    <col min="5657" max="5657" width="3.28515625" style="1" hidden="1" customWidth="1"/>
    <col min="5658" max="5881" width="0" style="1" hidden="1"/>
    <col min="5882" max="5883" width="3.28515625" style="1" hidden="1" customWidth="1"/>
    <col min="5884" max="5884" width="30.7109375" style="1" hidden="1" customWidth="1"/>
    <col min="5885" max="5885" width="2.7109375" style="1" hidden="1" customWidth="1"/>
    <col min="5886" max="5886" width="12.85546875" style="1" hidden="1" customWidth="1"/>
    <col min="5887" max="5888" width="9.5703125" style="1" hidden="1" customWidth="1"/>
    <col min="5889" max="5889" width="7.42578125" style="1" hidden="1" customWidth="1"/>
    <col min="5890" max="5890" width="11.140625" style="1" hidden="1" customWidth="1"/>
    <col min="5891" max="5891" width="11.28515625" style="1" hidden="1" customWidth="1"/>
    <col min="5892" max="5892" width="11.7109375" style="1" hidden="1" customWidth="1"/>
    <col min="5893" max="5893" width="11.28515625" style="1" hidden="1" customWidth="1"/>
    <col min="5894" max="5894" width="10.7109375" style="1" hidden="1" customWidth="1"/>
    <col min="5895" max="5895" width="11.28515625" style="1" hidden="1" customWidth="1"/>
    <col min="5896" max="5896" width="11.42578125" style="1" hidden="1" customWidth="1"/>
    <col min="5897" max="5897" width="10.42578125" style="1" hidden="1" customWidth="1"/>
    <col min="5898" max="5898" width="11.28515625" style="1" hidden="1" customWidth="1"/>
    <col min="5899" max="5899" width="11.42578125" style="1" hidden="1" customWidth="1"/>
    <col min="5900" max="5900" width="10.7109375" style="1" hidden="1" customWidth="1"/>
    <col min="5901" max="5901" width="10.28515625" style="1" hidden="1" customWidth="1"/>
    <col min="5902" max="5902" width="11.5703125" style="1" hidden="1" customWidth="1"/>
    <col min="5903" max="5904" width="11.42578125" style="1" hidden="1" customWidth="1"/>
    <col min="5905" max="5905" width="10.85546875" style="1" hidden="1" customWidth="1"/>
    <col min="5906" max="5906" width="8.7109375" style="1" hidden="1" customWidth="1"/>
    <col min="5907" max="5907" width="6.28515625" style="1" hidden="1" customWidth="1"/>
    <col min="5908" max="5908" width="4" style="1" hidden="1" customWidth="1"/>
    <col min="5909" max="5909" width="8.7109375" style="1" hidden="1" customWidth="1"/>
    <col min="5910" max="5910" width="13.7109375" style="1" hidden="1" customWidth="1"/>
    <col min="5911" max="5911" width="20.7109375" style="1" hidden="1" customWidth="1"/>
    <col min="5912" max="5912" width="9.42578125" style="1" hidden="1" customWidth="1"/>
    <col min="5913" max="5913" width="3.28515625" style="1" hidden="1" customWidth="1"/>
    <col min="5914" max="6137" width="0" style="1" hidden="1"/>
    <col min="6138" max="6139" width="3.28515625" style="1" hidden="1" customWidth="1"/>
    <col min="6140" max="6140" width="30.7109375" style="1" hidden="1" customWidth="1"/>
    <col min="6141" max="6141" width="2.7109375" style="1" hidden="1" customWidth="1"/>
    <col min="6142" max="6142" width="12.85546875" style="1" hidden="1" customWidth="1"/>
    <col min="6143" max="6144" width="9.5703125" style="1" hidden="1" customWidth="1"/>
    <col min="6145" max="6145" width="7.42578125" style="1" hidden="1" customWidth="1"/>
    <col min="6146" max="6146" width="11.140625" style="1" hidden="1" customWidth="1"/>
    <col min="6147" max="6147" width="11.28515625" style="1" hidden="1" customWidth="1"/>
    <col min="6148" max="6148" width="11.7109375" style="1" hidden="1" customWidth="1"/>
    <col min="6149" max="6149" width="11.28515625" style="1" hidden="1" customWidth="1"/>
    <col min="6150" max="6150" width="10.7109375" style="1" hidden="1" customWidth="1"/>
    <col min="6151" max="6151" width="11.28515625" style="1" hidden="1" customWidth="1"/>
    <col min="6152" max="6152" width="11.42578125" style="1" hidden="1" customWidth="1"/>
    <col min="6153" max="6153" width="10.42578125" style="1" hidden="1" customWidth="1"/>
    <col min="6154" max="6154" width="11.28515625" style="1" hidden="1" customWidth="1"/>
    <col min="6155" max="6155" width="11.42578125" style="1" hidden="1" customWidth="1"/>
    <col min="6156" max="6156" width="10.7109375" style="1" hidden="1" customWidth="1"/>
    <col min="6157" max="6157" width="10.28515625" style="1" hidden="1" customWidth="1"/>
    <col min="6158" max="6158" width="11.5703125" style="1" hidden="1" customWidth="1"/>
    <col min="6159" max="6160" width="11.42578125" style="1" hidden="1" customWidth="1"/>
    <col min="6161" max="6161" width="10.85546875" style="1" hidden="1" customWidth="1"/>
    <col min="6162" max="6162" width="8.7109375" style="1" hidden="1" customWidth="1"/>
    <col min="6163" max="6163" width="6.28515625" style="1" hidden="1" customWidth="1"/>
    <col min="6164" max="6164" width="4" style="1" hidden="1" customWidth="1"/>
    <col min="6165" max="6165" width="8.7109375" style="1" hidden="1" customWidth="1"/>
    <col min="6166" max="6166" width="13.7109375" style="1" hidden="1" customWidth="1"/>
    <col min="6167" max="6167" width="20.7109375" style="1" hidden="1" customWidth="1"/>
    <col min="6168" max="6168" width="9.42578125" style="1" hidden="1" customWidth="1"/>
    <col min="6169" max="6169" width="3.28515625" style="1" hidden="1" customWidth="1"/>
    <col min="6170" max="6393" width="0" style="1" hidden="1"/>
    <col min="6394" max="6395" width="3.28515625" style="1" hidden="1" customWidth="1"/>
    <col min="6396" max="6396" width="30.7109375" style="1" hidden="1" customWidth="1"/>
    <col min="6397" max="6397" width="2.7109375" style="1" hidden="1" customWidth="1"/>
    <col min="6398" max="6398" width="12.85546875" style="1" hidden="1" customWidth="1"/>
    <col min="6399" max="6400" width="9.5703125" style="1" hidden="1" customWidth="1"/>
    <col min="6401" max="6401" width="7.42578125" style="1" hidden="1" customWidth="1"/>
    <col min="6402" max="6402" width="11.140625" style="1" hidden="1" customWidth="1"/>
    <col min="6403" max="6403" width="11.28515625" style="1" hidden="1" customWidth="1"/>
    <col min="6404" max="6404" width="11.7109375" style="1" hidden="1" customWidth="1"/>
    <col min="6405" max="6405" width="11.28515625" style="1" hidden="1" customWidth="1"/>
    <col min="6406" max="6406" width="10.7109375" style="1" hidden="1" customWidth="1"/>
    <col min="6407" max="6407" width="11.28515625" style="1" hidden="1" customWidth="1"/>
    <col min="6408" max="6408" width="11.42578125" style="1" hidden="1" customWidth="1"/>
    <col min="6409" max="6409" width="10.42578125" style="1" hidden="1" customWidth="1"/>
    <col min="6410" max="6410" width="11.28515625" style="1" hidden="1" customWidth="1"/>
    <col min="6411" max="6411" width="11.42578125" style="1" hidden="1" customWidth="1"/>
    <col min="6412" max="6412" width="10.7109375" style="1" hidden="1" customWidth="1"/>
    <col min="6413" max="6413" width="10.28515625" style="1" hidden="1" customWidth="1"/>
    <col min="6414" max="6414" width="11.5703125" style="1" hidden="1" customWidth="1"/>
    <col min="6415" max="6416" width="11.42578125" style="1" hidden="1" customWidth="1"/>
    <col min="6417" max="6417" width="10.85546875" style="1" hidden="1" customWidth="1"/>
    <col min="6418" max="6418" width="8.7109375" style="1" hidden="1" customWidth="1"/>
    <col min="6419" max="6419" width="6.28515625" style="1" hidden="1" customWidth="1"/>
    <col min="6420" max="6420" width="4" style="1" hidden="1" customWidth="1"/>
    <col min="6421" max="6421" width="8.7109375" style="1" hidden="1" customWidth="1"/>
    <col min="6422" max="6422" width="13.7109375" style="1" hidden="1" customWidth="1"/>
    <col min="6423" max="6423" width="20.7109375" style="1" hidden="1" customWidth="1"/>
    <col min="6424" max="6424" width="9.42578125" style="1" hidden="1" customWidth="1"/>
    <col min="6425" max="6425" width="3.28515625" style="1" hidden="1" customWidth="1"/>
    <col min="6426" max="6649" width="0" style="1" hidden="1"/>
    <col min="6650" max="6651" width="3.28515625" style="1" hidden="1" customWidth="1"/>
    <col min="6652" max="6652" width="30.7109375" style="1" hidden="1" customWidth="1"/>
    <col min="6653" max="6653" width="2.7109375" style="1" hidden="1" customWidth="1"/>
    <col min="6654" max="6654" width="12.85546875" style="1" hidden="1" customWidth="1"/>
    <col min="6655" max="6656" width="9.5703125" style="1" hidden="1" customWidth="1"/>
    <col min="6657" max="6657" width="7.42578125" style="1" hidden="1" customWidth="1"/>
    <col min="6658" max="6658" width="11.140625" style="1" hidden="1" customWidth="1"/>
    <col min="6659" max="6659" width="11.28515625" style="1" hidden="1" customWidth="1"/>
    <col min="6660" max="6660" width="11.7109375" style="1" hidden="1" customWidth="1"/>
    <col min="6661" max="6661" width="11.28515625" style="1" hidden="1" customWidth="1"/>
    <col min="6662" max="6662" width="10.7109375" style="1" hidden="1" customWidth="1"/>
    <col min="6663" max="6663" width="11.28515625" style="1" hidden="1" customWidth="1"/>
    <col min="6664" max="6664" width="11.42578125" style="1" hidden="1" customWidth="1"/>
    <col min="6665" max="6665" width="10.42578125" style="1" hidden="1" customWidth="1"/>
    <col min="6666" max="6666" width="11.28515625" style="1" hidden="1" customWidth="1"/>
    <col min="6667" max="6667" width="11.42578125" style="1" hidden="1" customWidth="1"/>
    <col min="6668" max="6668" width="10.7109375" style="1" hidden="1" customWidth="1"/>
    <col min="6669" max="6669" width="10.28515625" style="1" hidden="1" customWidth="1"/>
    <col min="6670" max="6670" width="11.5703125" style="1" hidden="1" customWidth="1"/>
    <col min="6671" max="6672" width="11.42578125" style="1" hidden="1" customWidth="1"/>
    <col min="6673" max="6673" width="10.85546875" style="1" hidden="1" customWidth="1"/>
    <col min="6674" max="6674" width="8.7109375" style="1" hidden="1" customWidth="1"/>
    <col min="6675" max="6675" width="6.28515625" style="1" hidden="1" customWidth="1"/>
    <col min="6676" max="6676" width="4" style="1" hidden="1" customWidth="1"/>
    <col min="6677" max="6677" width="8.7109375" style="1" hidden="1" customWidth="1"/>
    <col min="6678" max="6678" width="13.7109375" style="1" hidden="1" customWidth="1"/>
    <col min="6679" max="6679" width="20.7109375" style="1" hidden="1" customWidth="1"/>
    <col min="6680" max="6680" width="9.42578125" style="1" hidden="1" customWidth="1"/>
    <col min="6681" max="6681" width="3.28515625" style="1" hidden="1" customWidth="1"/>
    <col min="6682" max="6905" width="0" style="1" hidden="1"/>
    <col min="6906" max="6907" width="3.28515625" style="1" hidden="1" customWidth="1"/>
    <col min="6908" max="6908" width="30.7109375" style="1" hidden="1" customWidth="1"/>
    <col min="6909" max="6909" width="2.7109375" style="1" hidden="1" customWidth="1"/>
    <col min="6910" max="6910" width="12.85546875" style="1" hidden="1" customWidth="1"/>
    <col min="6911" max="6912" width="9.5703125" style="1" hidden="1" customWidth="1"/>
    <col min="6913" max="6913" width="7.42578125" style="1" hidden="1" customWidth="1"/>
    <col min="6914" max="6914" width="11.140625" style="1" hidden="1" customWidth="1"/>
    <col min="6915" max="6915" width="11.28515625" style="1" hidden="1" customWidth="1"/>
    <col min="6916" max="6916" width="11.7109375" style="1" hidden="1" customWidth="1"/>
    <col min="6917" max="6917" width="11.28515625" style="1" hidden="1" customWidth="1"/>
    <col min="6918" max="6918" width="10.7109375" style="1" hidden="1" customWidth="1"/>
    <col min="6919" max="6919" width="11.28515625" style="1" hidden="1" customWidth="1"/>
    <col min="6920" max="6920" width="11.42578125" style="1" hidden="1" customWidth="1"/>
    <col min="6921" max="6921" width="10.42578125" style="1" hidden="1" customWidth="1"/>
    <col min="6922" max="6922" width="11.28515625" style="1" hidden="1" customWidth="1"/>
    <col min="6923" max="6923" width="11.42578125" style="1" hidden="1" customWidth="1"/>
    <col min="6924" max="6924" width="10.7109375" style="1" hidden="1" customWidth="1"/>
    <col min="6925" max="6925" width="10.28515625" style="1" hidden="1" customWidth="1"/>
    <col min="6926" max="6926" width="11.5703125" style="1" hidden="1" customWidth="1"/>
    <col min="6927" max="6928" width="11.42578125" style="1" hidden="1" customWidth="1"/>
    <col min="6929" max="6929" width="10.85546875" style="1" hidden="1" customWidth="1"/>
    <col min="6930" max="6930" width="8.7109375" style="1" hidden="1" customWidth="1"/>
    <col min="6931" max="6931" width="6.28515625" style="1" hidden="1" customWidth="1"/>
    <col min="6932" max="6932" width="4" style="1" hidden="1" customWidth="1"/>
    <col min="6933" max="6933" width="8.7109375" style="1" hidden="1" customWidth="1"/>
    <col min="6934" max="6934" width="13.7109375" style="1" hidden="1" customWidth="1"/>
    <col min="6935" max="6935" width="20.7109375" style="1" hidden="1" customWidth="1"/>
    <col min="6936" max="6936" width="9.42578125" style="1" hidden="1" customWidth="1"/>
    <col min="6937" max="6937" width="3.28515625" style="1" hidden="1" customWidth="1"/>
    <col min="6938" max="7161" width="0" style="1" hidden="1"/>
    <col min="7162" max="7163" width="3.28515625" style="1" hidden="1" customWidth="1"/>
    <col min="7164" max="7164" width="30.7109375" style="1" hidden="1" customWidth="1"/>
    <col min="7165" max="7165" width="2.7109375" style="1" hidden="1" customWidth="1"/>
    <col min="7166" max="7166" width="12.85546875" style="1" hidden="1" customWidth="1"/>
    <col min="7167" max="7168" width="9.5703125" style="1" hidden="1" customWidth="1"/>
    <col min="7169" max="7169" width="7.42578125" style="1" hidden="1" customWidth="1"/>
    <col min="7170" max="7170" width="11.140625" style="1" hidden="1" customWidth="1"/>
    <col min="7171" max="7171" width="11.28515625" style="1" hidden="1" customWidth="1"/>
    <col min="7172" max="7172" width="11.7109375" style="1" hidden="1" customWidth="1"/>
    <col min="7173" max="7173" width="11.28515625" style="1" hidden="1" customWidth="1"/>
    <col min="7174" max="7174" width="10.7109375" style="1" hidden="1" customWidth="1"/>
    <col min="7175" max="7175" width="11.28515625" style="1" hidden="1" customWidth="1"/>
    <col min="7176" max="7176" width="11.42578125" style="1" hidden="1" customWidth="1"/>
    <col min="7177" max="7177" width="10.42578125" style="1" hidden="1" customWidth="1"/>
    <col min="7178" max="7178" width="11.28515625" style="1" hidden="1" customWidth="1"/>
    <col min="7179" max="7179" width="11.42578125" style="1" hidden="1" customWidth="1"/>
    <col min="7180" max="7180" width="10.7109375" style="1" hidden="1" customWidth="1"/>
    <col min="7181" max="7181" width="10.28515625" style="1" hidden="1" customWidth="1"/>
    <col min="7182" max="7182" width="11.5703125" style="1" hidden="1" customWidth="1"/>
    <col min="7183" max="7184" width="11.42578125" style="1" hidden="1" customWidth="1"/>
    <col min="7185" max="7185" width="10.85546875" style="1" hidden="1" customWidth="1"/>
    <col min="7186" max="7186" width="8.7109375" style="1" hidden="1" customWidth="1"/>
    <col min="7187" max="7187" width="6.28515625" style="1" hidden="1" customWidth="1"/>
    <col min="7188" max="7188" width="4" style="1" hidden="1" customWidth="1"/>
    <col min="7189" max="7189" width="8.7109375" style="1" hidden="1" customWidth="1"/>
    <col min="7190" max="7190" width="13.7109375" style="1" hidden="1" customWidth="1"/>
    <col min="7191" max="7191" width="20.7109375" style="1" hidden="1" customWidth="1"/>
    <col min="7192" max="7192" width="9.42578125" style="1" hidden="1" customWidth="1"/>
    <col min="7193" max="7193" width="3.28515625" style="1" hidden="1" customWidth="1"/>
    <col min="7194" max="7417" width="0" style="1" hidden="1"/>
    <col min="7418" max="7419" width="3.28515625" style="1" hidden="1" customWidth="1"/>
    <col min="7420" max="7420" width="30.7109375" style="1" hidden="1" customWidth="1"/>
    <col min="7421" max="7421" width="2.7109375" style="1" hidden="1" customWidth="1"/>
    <col min="7422" max="7422" width="12.85546875" style="1" hidden="1" customWidth="1"/>
    <col min="7423" max="7424" width="9.5703125" style="1" hidden="1" customWidth="1"/>
    <col min="7425" max="7425" width="7.42578125" style="1" hidden="1" customWidth="1"/>
    <col min="7426" max="7426" width="11.140625" style="1" hidden="1" customWidth="1"/>
    <col min="7427" max="7427" width="11.28515625" style="1" hidden="1" customWidth="1"/>
    <col min="7428" max="7428" width="11.7109375" style="1" hidden="1" customWidth="1"/>
    <col min="7429" max="7429" width="11.28515625" style="1" hidden="1" customWidth="1"/>
    <col min="7430" max="7430" width="10.7109375" style="1" hidden="1" customWidth="1"/>
    <col min="7431" max="7431" width="11.28515625" style="1" hidden="1" customWidth="1"/>
    <col min="7432" max="7432" width="11.42578125" style="1" hidden="1" customWidth="1"/>
    <col min="7433" max="7433" width="10.42578125" style="1" hidden="1" customWidth="1"/>
    <col min="7434" max="7434" width="11.28515625" style="1" hidden="1" customWidth="1"/>
    <col min="7435" max="7435" width="11.42578125" style="1" hidden="1" customWidth="1"/>
    <col min="7436" max="7436" width="10.7109375" style="1" hidden="1" customWidth="1"/>
    <col min="7437" max="7437" width="10.28515625" style="1" hidden="1" customWidth="1"/>
    <col min="7438" max="7438" width="11.5703125" style="1" hidden="1" customWidth="1"/>
    <col min="7439" max="7440" width="11.42578125" style="1" hidden="1" customWidth="1"/>
    <col min="7441" max="7441" width="10.85546875" style="1" hidden="1" customWidth="1"/>
    <col min="7442" max="7442" width="8.7109375" style="1" hidden="1" customWidth="1"/>
    <col min="7443" max="7443" width="6.28515625" style="1" hidden="1" customWidth="1"/>
    <col min="7444" max="7444" width="4" style="1" hidden="1" customWidth="1"/>
    <col min="7445" max="7445" width="8.7109375" style="1" hidden="1" customWidth="1"/>
    <col min="7446" max="7446" width="13.7109375" style="1" hidden="1" customWidth="1"/>
    <col min="7447" max="7447" width="20.7109375" style="1" hidden="1" customWidth="1"/>
    <col min="7448" max="7448" width="9.42578125" style="1" hidden="1" customWidth="1"/>
    <col min="7449" max="7449" width="3.28515625" style="1" hidden="1" customWidth="1"/>
    <col min="7450" max="7673" width="0" style="1" hidden="1"/>
    <col min="7674" max="7675" width="3.28515625" style="1" hidden="1" customWidth="1"/>
    <col min="7676" max="7676" width="30.7109375" style="1" hidden="1" customWidth="1"/>
    <col min="7677" max="7677" width="2.7109375" style="1" hidden="1" customWidth="1"/>
    <col min="7678" max="7678" width="12.85546875" style="1" hidden="1" customWidth="1"/>
    <col min="7679" max="7680" width="9.5703125" style="1" hidden="1" customWidth="1"/>
    <col min="7681" max="7681" width="7.42578125" style="1" hidden="1" customWidth="1"/>
    <col min="7682" max="7682" width="11.140625" style="1" hidden="1" customWidth="1"/>
    <col min="7683" max="7683" width="11.28515625" style="1" hidden="1" customWidth="1"/>
    <col min="7684" max="7684" width="11.7109375" style="1" hidden="1" customWidth="1"/>
    <col min="7685" max="7685" width="11.28515625" style="1" hidden="1" customWidth="1"/>
    <col min="7686" max="7686" width="10.7109375" style="1" hidden="1" customWidth="1"/>
    <col min="7687" max="7687" width="11.28515625" style="1" hidden="1" customWidth="1"/>
    <col min="7688" max="7688" width="11.42578125" style="1" hidden="1" customWidth="1"/>
    <col min="7689" max="7689" width="10.42578125" style="1" hidden="1" customWidth="1"/>
    <col min="7690" max="7690" width="11.28515625" style="1" hidden="1" customWidth="1"/>
    <col min="7691" max="7691" width="11.42578125" style="1" hidden="1" customWidth="1"/>
    <col min="7692" max="7692" width="10.7109375" style="1" hidden="1" customWidth="1"/>
    <col min="7693" max="7693" width="10.28515625" style="1" hidden="1" customWidth="1"/>
    <col min="7694" max="7694" width="11.5703125" style="1" hidden="1" customWidth="1"/>
    <col min="7695" max="7696" width="11.42578125" style="1" hidden="1" customWidth="1"/>
    <col min="7697" max="7697" width="10.85546875" style="1" hidden="1" customWidth="1"/>
    <col min="7698" max="7698" width="8.7109375" style="1" hidden="1" customWidth="1"/>
    <col min="7699" max="7699" width="6.28515625" style="1" hidden="1" customWidth="1"/>
    <col min="7700" max="7700" width="4" style="1" hidden="1" customWidth="1"/>
    <col min="7701" max="7701" width="8.7109375" style="1" hidden="1" customWidth="1"/>
    <col min="7702" max="7702" width="13.7109375" style="1" hidden="1" customWidth="1"/>
    <col min="7703" max="7703" width="20.7109375" style="1" hidden="1" customWidth="1"/>
    <col min="7704" max="7704" width="9.42578125" style="1" hidden="1" customWidth="1"/>
    <col min="7705" max="7705" width="3.28515625" style="1" hidden="1" customWidth="1"/>
    <col min="7706" max="7929" width="0" style="1" hidden="1"/>
    <col min="7930" max="7931" width="3.28515625" style="1" hidden="1" customWidth="1"/>
    <col min="7932" max="7932" width="30.7109375" style="1" hidden="1" customWidth="1"/>
    <col min="7933" max="7933" width="2.7109375" style="1" hidden="1" customWidth="1"/>
    <col min="7934" max="7934" width="12.85546875" style="1" hidden="1" customWidth="1"/>
    <col min="7935" max="7936" width="9.5703125" style="1" hidden="1" customWidth="1"/>
    <col min="7937" max="7937" width="7.42578125" style="1" hidden="1" customWidth="1"/>
    <col min="7938" max="7938" width="11.140625" style="1" hidden="1" customWidth="1"/>
    <col min="7939" max="7939" width="11.28515625" style="1" hidden="1" customWidth="1"/>
    <col min="7940" max="7940" width="11.7109375" style="1" hidden="1" customWidth="1"/>
    <col min="7941" max="7941" width="11.28515625" style="1" hidden="1" customWidth="1"/>
    <col min="7942" max="7942" width="10.7109375" style="1" hidden="1" customWidth="1"/>
    <col min="7943" max="7943" width="11.28515625" style="1" hidden="1" customWidth="1"/>
    <col min="7944" max="7944" width="11.42578125" style="1" hidden="1" customWidth="1"/>
    <col min="7945" max="7945" width="10.42578125" style="1" hidden="1" customWidth="1"/>
    <col min="7946" max="7946" width="11.28515625" style="1" hidden="1" customWidth="1"/>
    <col min="7947" max="7947" width="11.42578125" style="1" hidden="1" customWidth="1"/>
    <col min="7948" max="7948" width="10.7109375" style="1" hidden="1" customWidth="1"/>
    <col min="7949" max="7949" width="10.28515625" style="1" hidden="1" customWidth="1"/>
    <col min="7950" max="7950" width="11.5703125" style="1" hidden="1" customWidth="1"/>
    <col min="7951" max="7952" width="11.42578125" style="1" hidden="1" customWidth="1"/>
    <col min="7953" max="7953" width="10.85546875" style="1" hidden="1" customWidth="1"/>
    <col min="7954" max="7954" width="8.7109375" style="1" hidden="1" customWidth="1"/>
    <col min="7955" max="7955" width="6.28515625" style="1" hidden="1" customWidth="1"/>
    <col min="7956" max="7956" width="4" style="1" hidden="1" customWidth="1"/>
    <col min="7957" max="7957" width="8.7109375" style="1" hidden="1" customWidth="1"/>
    <col min="7958" max="7958" width="13.7109375" style="1" hidden="1" customWidth="1"/>
    <col min="7959" max="7959" width="20.7109375" style="1" hidden="1" customWidth="1"/>
    <col min="7960" max="7960" width="9.42578125" style="1" hidden="1" customWidth="1"/>
    <col min="7961" max="7961" width="3.28515625" style="1" hidden="1" customWidth="1"/>
    <col min="7962" max="8185" width="0" style="1" hidden="1"/>
    <col min="8186" max="8187" width="3.28515625" style="1" hidden="1" customWidth="1"/>
    <col min="8188" max="8188" width="30.7109375" style="1" hidden="1" customWidth="1"/>
    <col min="8189" max="8189" width="2.7109375" style="1" hidden="1" customWidth="1"/>
    <col min="8190" max="8190" width="12.85546875" style="1" hidden="1" customWidth="1"/>
    <col min="8191" max="8192" width="9.5703125" style="1" hidden="1" customWidth="1"/>
    <col min="8193" max="8193" width="7.42578125" style="1" hidden="1" customWidth="1"/>
    <col min="8194" max="8194" width="11.140625" style="1" hidden="1" customWidth="1"/>
    <col min="8195" max="8195" width="11.28515625" style="1" hidden="1" customWidth="1"/>
    <col min="8196" max="8196" width="11.7109375" style="1" hidden="1" customWidth="1"/>
    <col min="8197" max="8197" width="11.28515625" style="1" hidden="1" customWidth="1"/>
    <col min="8198" max="8198" width="10.7109375" style="1" hidden="1" customWidth="1"/>
    <col min="8199" max="8199" width="11.28515625" style="1" hidden="1" customWidth="1"/>
    <col min="8200" max="8200" width="11.42578125" style="1" hidden="1" customWidth="1"/>
    <col min="8201" max="8201" width="10.42578125" style="1" hidden="1" customWidth="1"/>
    <col min="8202" max="8202" width="11.28515625" style="1" hidden="1" customWidth="1"/>
    <col min="8203" max="8203" width="11.42578125" style="1" hidden="1" customWidth="1"/>
    <col min="8204" max="8204" width="10.7109375" style="1" hidden="1" customWidth="1"/>
    <col min="8205" max="8205" width="10.28515625" style="1" hidden="1" customWidth="1"/>
    <col min="8206" max="8206" width="11.5703125" style="1" hidden="1" customWidth="1"/>
    <col min="8207" max="8208" width="11.42578125" style="1" hidden="1" customWidth="1"/>
    <col min="8209" max="8209" width="10.85546875" style="1" hidden="1" customWidth="1"/>
    <col min="8210" max="8210" width="8.7109375" style="1" hidden="1" customWidth="1"/>
    <col min="8211" max="8211" width="6.28515625" style="1" hidden="1" customWidth="1"/>
    <col min="8212" max="8212" width="4" style="1" hidden="1" customWidth="1"/>
    <col min="8213" max="8213" width="8.7109375" style="1" hidden="1" customWidth="1"/>
    <col min="8214" max="8214" width="13.7109375" style="1" hidden="1" customWidth="1"/>
    <col min="8215" max="8215" width="20.7109375" style="1" hidden="1" customWidth="1"/>
    <col min="8216" max="8216" width="9.42578125" style="1" hidden="1" customWidth="1"/>
    <col min="8217" max="8217" width="3.28515625" style="1" hidden="1" customWidth="1"/>
    <col min="8218" max="8441" width="0" style="1" hidden="1"/>
    <col min="8442" max="8443" width="3.28515625" style="1" hidden="1" customWidth="1"/>
    <col min="8444" max="8444" width="30.7109375" style="1" hidden="1" customWidth="1"/>
    <col min="8445" max="8445" width="2.7109375" style="1" hidden="1" customWidth="1"/>
    <col min="8446" max="8446" width="12.85546875" style="1" hidden="1" customWidth="1"/>
    <col min="8447" max="8448" width="9.5703125" style="1" hidden="1" customWidth="1"/>
    <col min="8449" max="8449" width="7.42578125" style="1" hidden="1" customWidth="1"/>
    <col min="8450" max="8450" width="11.140625" style="1" hidden="1" customWidth="1"/>
    <col min="8451" max="8451" width="11.28515625" style="1" hidden="1" customWidth="1"/>
    <col min="8452" max="8452" width="11.7109375" style="1" hidden="1" customWidth="1"/>
    <col min="8453" max="8453" width="11.28515625" style="1" hidden="1" customWidth="1"/>
    <col min="8454" max="8454" width="10.7109375" style="1" hidden="1" customWidth="1"/>
    <col min="8455" max="8455" width="11.28515625" style="1" hidden="1" customWidth="1"/>
    <col min="8456" max="8456" width="11.42578125" style="1" hidden="1" customWidth="1"/>
    <col min="8457" max="8457" width="10.42578125" style="1" hidden="1" customWidth="1"/>
    <col min="8458" max="8458" width="11.28515625" style="1" hidden="1" customWidth="1"/>
    <col min="8459" max="8459" width="11.42578125" style="1" hidden="1" customWidth="1"/>
    <col min="8460" max="8460" width="10.7109375" style="1" hidden="1" customWidth="1"/>
    <col min="8461" max="8461" width="10.28515625" style="1" hidden="1" customWidth="1"/>
    <col min="8462" max="8462" width="11.5703125" style="1" hidden="1" customWidth="1"/>
    <col min="8463" max="8464" width="11.42578125" style="1" hidden="1" customWidth="1"/>
    <col min="8465" max="8465" width="10.85546875" style="1" hidden="1" customWidth="1"/>
    <col min="8466" max="8466" width="8.7109375" style="1" hidden="1" customWidth="1"/>
    <col min="8467" max="8467" width="6.28515625" style="1" hidden="1" customWidth="1"/>
    <col min="8468" max="8468" width="4" style="1" hidden="1" customWidth="1"/>
    <col min="8469" max="8469" width="8.7109375" style="1" hidden="1" customWidth="1"/>
    <col min="8470" max="8470" width="13.7109375" style="1" hidden="1" customWidth="1"/>
    <col min="8471" max="8471" width="20.7109375" style="1" hidden="1" customWidth="1"/>
    <col min="8472" max="8472" width="9.42578125" style="1" hidden="1" customWidth="1"/>
    <col min="8473" max="8473" width="3.28515625" style="1" hidden="1" customWidth="1"/>
    <col min="8474" max="8697" width="0" style="1" hidden="1"/>
    <col min="8698" max="8699" width="3.28515625" style="1" hidden="1" customWidth="1"/>
    <col min="8700" max="8700" width="30.7109375" style="1" hidden="1" customWidth="1"/>
    <col min="8701" max="8701" width="2.7109375" style="1" hidden="1" customWidth="1"/>
    <col min="8702" max="8702" width="12.85546875" style="1" hidden="1" customWidth="1"/>
    <col min="8703" max="8704" width="9.5703125" style="1" hidden="1" customWidth="1"/>
    <col min="8705" max="8705" width="7.42578125" style="1" hidden="1" customWidth="1"/>
    <col min="8706" max="8706" width="11.140625" style="1" hidden="1" customWidth="1"/>
    <col min="8707" max="8707" width="11.28515625" style="1" hidden="1" customWidth="1"/>
    <col min="8708" max="8708" width="11.7109375" style="1" hidden="1" customWidth="1"/>
    <col min="8709" max="8709" width="11.28515625" style="1" hidden="1" customWidth="1"/>
    <col min="8710" max="8710" width="10.7109375" style="1" hidden="1" customWidth="1"/>
    <col min="8711" max="8711" width="11.28515625" style="1" hidden="1" customWidth="1"/>
    <col min="8712" max="8712" width="11.42578125" style="1" hidden="1" customWidth="1"/>
    <col min="8713" max="8713" width="10.42578125" style="1" hidden="1" customWidth="1"/>
    <col min="8714" max="8714" width="11.28515625" style="1" hidden="1" customWidth="1"/>
    <col min="8715" max="8715" width="11.42578125" style="1" hidden="1" customWidth="1"/>
    <col min="8716" max="8716" width="10.7109375" style="1" hidden="1" customWidth="1"/>
    <col min="8717" max="8717" width="10.28515625" style="1" hidden="1" customWidth="1"/>
    <col min="8718" max="8718" width="11.5703125" style="1" hidden="1" customWidth="1"/>
    <col min="8719" max="8720" width="11.42578125" style="1" hidden="1" customWidth="1"/>
    <col min="8721" max="8721" width="10.85546875" style="1" hidden="1" customWidth="1"/>
    <col min="8722" max="8722" width="8.7109375" style="1" hidden="1" customWidth="1"/>
    <col min="8723" max="8723" width="6.28515625" style="1" hidden="1" customWidth="1"/>
    <col min="8724" max="8724" width="4" style="1" hidden="1" customWidth="1"/>
    <col min="8725" max="8725" width="8.7109375" style="1" hidden="1" customWidth="1"/>
    <col min="8726" max="8726" width="13.7109375" style="1" hidden="1" customWidth="1"/>
    <col min="8727" max="8727" width="20.7109375" style="1" hidden="1" customWidth="1"/>
    <col min="8728" max="8728" width="9.42578125" style="1" hidden="1" customWidth="1"/>
    <col min="8729" max="8729" width="3.28515625" style="1" hidden="1" customWidth="1"/>
    <col min="8730" max="8953" width="0" style="1" hidden="1"/>
    <col min="8954" max="8955" width="3.28515625" style="1" hidden="1" customWidth="1"/>
    <col min="8956" max="8956" width="30.7109375" style="1" hidden="1" customWidth="1"/>
    <col min="8957" max="8957" width="2.7109375" style="1" hidden="1" customWidth="1"/>
    <col min="8958" max="8958" width="12.85546875" style="1" hidden="1" customWidth="1"/>
    <col min="8959" max="8960" width="9.5703125" style="1" hidden="1" customWidth="1"/>
    <col min="8961" max="8961" width="7.42578125" style="1" hidden="1" customWidth="1"/>
    <col min="8962" max="8962" width="11.140625" style="1" hidden="1" customWidth="1"/>
    <col min="8963" max="8963" width="11.28515625" style="1" hidden="1" customWidth="1"/>
    <col min="8964" max="8964" width="11.7109375" style="1" hidden="1" customWidth="1"/>
    <col min="8965" max="8965" width="11.28515625" style="1" hidden="1" customWidth="1"/>
    <col min="8966" max="8966" width="10.7109375" style="1" hidden="1" customWidth="1"/>
    <col min="8967" max="8967" width="11.28515625" style="1" hidden="1" customWidth="1"/>
    <col min="8968" max="8968" width="11.42578125" style="1" hidden="1" customWidth="1"/>
    <col min="8969" max="8969" width="10.42578125" style="1" hidden="1" customWidth="1"/>
    <col min="8970" max="8970" width="11.28515625" style="1" hidden="1" customWidth="1"/>
    <col min="8971" max="8971" width="11.42578125" style="1" hidden="1" customWidth="1"/>
    <col min="8972" max="8972" width="10.7109375" style="1" hidden="1" customWidth="1"/>
    <col min="8973" max="8973" width="10.28515625" style="1" hidden="1" customWidth="1"/>
    <col min="8974" max="8974" width="11.5703125" style="1" hidden="1" customWidth="1"/>
    <col min="8975" max="8976" width="11.42578125" style="1" hidden="1" customWidth="1"/>
    <col min="8977" max="8977" width="10.85546875" style="1" hidden="1" customWidth="1"/>
    <col min="8978" max="8978" width="8.7109375" style="1" hidden="1" customWidth="1"/>
    <col min="8979" max="8979" width="6.28515625" style="1" hidden="1" customWidth="1"/>
    <col min="8980" max="8980" width="4" style="1" hidden="1" customWidth="1"/>
    <col min="8981" max="8981" width="8.7109375" style="1" hidden="1" customWidth="1"/>
    <col min="8982" max="8982" width="13.7109375" style="1" hidden="1" customWidth="1"/>
    <col min="8983" max="8983" width="20.7109375" style="1" hidden="1" customWidth="1"/>
    <col min="8984" max="8984" width="9.42578125" style="1" hidden="1" customWidth="1"/>
    <col min="8985" max="8985" width="3.28515625" style="1" hidden="1" customWidth="1"/>
    <col min="8986" max="9209" width="0" style="1" hidden="1"/>
    <col min="9210" max="9211" width="3.28515625" style="1" hidden="1" customWidth="1"/>
    <col min="9212" max="9212" width="30.7109375" style="1" hidden="1" customWidth="1"/>
    <col min="9213" max="9213" width="2.7109375" style="1" hidden="1" customWidth="1"/>
    <col min="9214" max="9214" width="12.85546875" style="1" hidden="1" customWidth="1"/>
    <col min="9215" max="9216" width="9.5703125" style="1" hidden="1" customWidth="1"/>
    <col min="9217" max="9217" width="7.42578125" style="1" hidden="1" customWidth="1"/>
    <col min="9218" max="9218" width="11.140625" style="1" hidden="1" customWidth="1"/>
    <col min="9219" max="9219" width="11.28515625" style="1" hidden="1" customWidth="1"/>
    <col min="9220" max="9220" width="11.7109375" style="1" hidden="1" customWidth="1"/>
    <col min="9221" max="9221" width="11.28515625" style="1" hidden="1" customWidth="1"/>
    <col min="9222" max="9222" width="10.7109375" style="1" hidden="1" customWidth="1"/>
    <col min="9223" max="9223" width="11.28515625" style="1" hidden="1" customWidth="1"/>
    <col min="9224" max="9224" width="11.42578125" style="1" hidden="1" customWidth="1"/>
    <col min="9225" max="9225" width="10.42578125" style="1" hidden="1" customWidth="1"/>
    <col min="9226" max="9226" width="11.28515625" style="1" hidden="1" customWidth="1"/>
    <col min="9227" max="9227" width="11.42578125" style="1" hidden="1" customWidth="1"/>
    <col min="9228" max="9228" width="10.7109375" style="1" hidden="1" customWidth="1"/>
    <col min="9229" max="9229" width="10.28515625" style="1" hidden="1" customWidth="1"/>
    <col min="9230" max="9230" width="11.5703125" style="1" hidden="1" customWidth="1"/>
    <col min="9231" max="9232" width="11.42578125" style="1" hidden="1" customWidth="1"/>
    <col min="9233" max="9233" width="10.85546875" style="1" hidden="1" customWidth="1"/>
    <col min="9234" max="9234" width="8.7109375" style="1" hidden="1" customWidth="1"/>
    <col min="9235" max="9235" width="6.28515625" style="1" hidden="1" customWidth="1"/>
    <col min="9236" max="9236" width="4" style="1" hidden="1" customWidth="1"/>
    <col min="9237" max="9237" width="8.7109375" style="1" hidden="1" customWidth="1"/>
    <col min="9238" max="9238" width="13.7109375" style="1" hidden="1" customWidth="1"/>
    <col min="9239" max="9239" width="20.7109375" style="1" hidden="1" customWidth="1"/>
    <col min="9240" max="9240" width="9.42578125" style="1" hidden="1" customWidth="1"/>
    <col min="9241" max="9241" width="3.28515625" style="1" hidden="1" customWidth="1"/>
    <col min="9242" max="9465" width="0" style="1" hidden="1"/>
    <col min="9466" max="9467" width="3.28515625" style="1" hidden="1" customWidth="1"/>
    <col min="9468" max="9468" width="30.7109375" style="1" hidden="1" customWidth="1"/>
    <col min="9469" max="9469" width="2.7109375" style="1" hidden="1" customWidth="1"/>
    <col min="9470" max="9470" width="12.85546875" style="1" hidden="1" customWidth="1"/>
    <col min="9471" max="9472" width="9.5703125" style="1" hidden="1" customWidth="1"/>
    <col min="9473" max="9473" width="7.42578125" style="1" hidden="1" customWidth="1"/>
    <col min="9474" max="9474" width="11.140625" style="1" hidden="1" customWidth="1"/>
    <col min="9475" max="9475" width="11.28515625" style="1" hidden="1" customWidth="1"/>
    <col min="9476" max="9476" width="11.7109375" style="1" hidden="1" customWidth="1"/>
    <col min="9477" max="9477" width="11.28515625" style="1" hidden="1" customWidth="1"/>
    <col min="9478" max="9478" width="10.7109375" style="1" hidden="1" customWidth="1"/>
    <col min="9479" max="9479" width="11.28515625" style="1" hidden="1" customWidth="1"/>
    <col min="9480" max="9480" width="11.42578125" style="1" hidden="1" customWidth="1"/>
    <col min="9481" max="9481" width="10.42578125" style="1" hidden="1" customWidth="1"/>
    <col min="9482" max="9482" width="11.28515625" style="1" hidden="1" customWidth="1"/>
    <col min="9483" max="9483" width="11.42578125" style="1" hidden="1" customWidth="1"/>
    <col min="9484" max="9484" width="10.7109375" style="1" hidden="1" customWidth="1"/>
    <col min="9485" max="9485" width="10.28515625" style="1" hidden="1" customWidth="1"/>
    <col min="9486" max="9486" width="11.5703125" style="1" hidden="1" customWidth="1"/>
    <col min="9487" max="9488" width="11.42578125" style="1" hidden="1" customWidth="1"/>
    <col min="9489" max="9489" width="10.85546875" style="1" hidden="1" customWidth="1"/>
    <col min="9490" max="9490" width="8.7109375" style="1" hidden="1" customWidth="1"/>
    <col min="9491" max="9491" width="6.28515625" style="1" hidden="1" customWidth="1"/>
    <col min="9492" max="9492" width="4" style="1" hidden="1" customWidth="1"/>
    <col min="9493" max="9493" width="8.7109375" style="1" hidden="1" customWidth="1"/>
    <col min="9494" max="9494" width="13.7109375" style="1" hidden="1" customWidth="1"/>
    <col min="9495" max="9495" width="20.7109375" style="1" hidden="1" customWidth="1"/>
    <col min="9496" max="9496" width="9.42578125" style="1" hidden="1" customWidth="1"/>
    <col min="9497" max="9497" width="3.28515625" style="1" hidden="1" customWidth="1"/>
    <col min="9498" max="9721" width="0" style="1" hidden="1"/>
    <col min="9722" max="9723" width="3.28515625" style="1" hidden="1" customWidth="1"/>
    <col min="9724" max="9724" width="30.7109375" style="1" hidden="1" customWidth="1"/>
    <col min="9725" max="9725" width="2.7109375" style="1" hidden="1" customWidth="1"/>
    <col min="9726" max="9726" width="12.85546875" style="1" hidden="1" customWidth="1"/>
    <col min="9727" max="9728" width="9.5703125" style="1" hidden="1" customWidth="1"/>
    <col min="9729" max="9729" width="7.42578125" style="1" hidden="1" customWidth="1"/>
    <col min="9730" max="9730" width="11.140625" style="1" hidden="1" customWidth="1"/>
    <col min="9731" max="9731" width="11.28515625" style="1" hidden="1" customWidth="1"/>
    <col min="9732" max="9732" width="11.7109375" style="1" hidden="1" customWidth="1"/>
    <col min="9733" max="9733" width="11.28515625" style="1" hidden="1" customWidth="1"/>
    <col min="9734" max="9734" width="10.7109375" style="1" hidden="1" customWidth="1"/>
    <col min="9735" max="9735" width="11.28515625" style="1" hidden="1" customWidth="1"/>
    <col min="9736" max="9736" width="11.42578125" style="1" hidden="1" customWidth="1"/>
    <col min="9737" max="9737" width="10.42578125" style="1" hidden="1" customWidth="1"/>
    <col min="9738" max="9738" width="11.28515625" style="1" hidden="1" customWidth="1"/>
    <col min="9739" max="9739" width="11.42578125" style="1" hidden="1" customWidth="1"/>
    <col min="9740" max="9740" width="10.7109375" style="1" hidden="1" customWidth="1"/>
    <col min="9741" max="9741" width="10.28515625" style="1" hidden="1" customWidth="1"/>
    <col min="9742" max="9742" width="11.5703125" style="1" hidden="1" customWidth="1"/>
    <col min="9743" max="9744" width="11.42578125" style="1" hidden="1" customWidth="1"/>
    <col min="9745" max="9745" width="10.85546875" style="1" hidden="1" customWidth="1"/>
    <col min="9746" max="9746" width="8.7109375" style="1" hidden="1" customWidth="1"/>
    <col min="9747" max="9747" width="6.28515625" style="1" hidden="1" customWidth="1"/>
    <col min="9748" max="9748" width="4" style="1" hidden="1" customWidth="1"/>
    <col min="9749" max="9749" width="8.7109375" style="1" hidden="1" customWidth="1"/>
    <col min="9750" max="9750" width="13.7109375" style="1" hidden="1" customWidth="1"/>
    <col min="9751" max="9751" width="20.7109375" style="1" hidden="1" customWidth="1"/>
    <col min="9752" max="9752" width="9.42578125" style="1" hidden="1" customWidth="1"/>
    <col min="9753" max="9753" width="3.28515625" style="1" hidden="1" customWidth="1"/>
    <col min="9754" max="9977" width="0" style="1" hidden="1"/>
    <col min="9978" max="9979" width="3.28515625" style="1" hidden="1" customWidth="1"/>
    <col min="9980" max="9980" width="30.7109375" style="1" hidden="1" customWidth="1"/>
    <col min="9981" max="9981" width="2.7109375" style="1" hidden="1" customWidth="1"/>
    <col min="9982" max="9982" width="12.85546875" style="1" hidden="1" customWidth="1"/>
    <col min="9983" max="9984" width="9.5703125" style="1" hidden="1" customWidth="1"/>
    <col min="9985" max="9985" width="7.42578125" style="1" hidden="1" customWidth="1"/>
    <col min="9986" max="9986" width="11.140625" style="1" hidden="1" customWidth="1"/>
    <col min="9987" max="9987" width="11.28515625" style="1" hidden="1" customWidth="1"/>
    <col min="9988" max="9988" width="11.7109375" style="1" hidden="1" customWidth="1"/>
    <col min="9989" max="9989" width="11.28515625" style="1" hidden="1" customWidth="1"/>
    <col min="9990" max="9990" width="10.7109375" style="1" hidden="1" customWidth="1"/>
    <col min="9991" max="9991" width="11.28515625" style="1" hidden="1" customWidth="1"/>
    <col min="9992" max="9992" width="11.42578125" style="1" hidden="1" customWidth="1"/>
    <col min="9993" max="9993" width="10.42578125" style="1" hidden="1" customWidth="1"/>
    <col min="9994" max="9994" width="11.28515625" style="1" hidden="1" customWidth="1"/>
    <col min="9995" max="9995" width="11.42578125" style="1" hidden="1" customWidth="1"/>
    <col min="9996" max="9996" width="10.7109375" style="1" hidden="1" customWidth="1"/>
    <col min="9997" max="9997" width="10.28515625" style="1" hidden="1" customWidth="1"/>
    <col min="9998" max="9998" width="11.5703125" style="1" hidden="1" customWidth="1"/>
    <col min="9999" max="10000" width="11.42578125" style="1" hidden="1" customWidth="1"/>
    <col min="10001" max="10001" width="10.85546875" style="1" hidden="1" customWidth="1"/>
    <col min="10002" max="10002" width="8.7109375" style="1" hidden="1" customWidth="1"/>
    <col min="10003" max="10003" width="6.28515625" style="1" hidden="1" customWidth="1"/>
    <col min="10004" max="10004" width="4" style="1" hidden="1" customWidth="1"/>
    <col min="10005" max="10005" width="8.7109375" style="1" hidden="1" customWidth="1"/>
    <col min="10006" max="10006" width="13.7109375" style="1" hidden="1" customWidth="1"/>
    <col min="10007" max="10007" width="20.7109375" style="1" hidden="1" customWidth="1"/>
    <col min="10008" max="10008" width="9.42578125" style="1" hidden="1" customWidth="1"/>
    <col min="10009" max="10009" width="3.28515625" style="1" hidden="1" customWidth="1"/>
    <col min="10010" max="10233" width="0" style="1" hidden="1"/>
    <col min="10234" max="10235" width="3.28515625" style="1" hidden="1" customWidth="1"/>
    <col min="10236" max="10236" width="30.7109375" style="1" hidden="1" customWidth="1"/>
    <col min="10237" max="10237" width="2.7109375" style="1" hidden="1" customWidth="1"/>
    <col min="10238" max="10238" width="12.85546875" style="1" hidden="1" customWidth="1"/>
    <col min="10239" max="10240" width="9.5703125" style="1" hidden="1" customWidth="1"/>
    <col min="10241" max="10241" width="7.42578125" style="1" hidden="1" customWidth="1"/>
    <col min="10242" max="10242" width="11.140625" style="1" hidden="1" customWidth="1"/>
    <col min="10243" max="10243" width="11.28515625" style="1" hidden="1" customWidth="1"/>
    <col min="10244" max="10244" width="11.7109375" style="1" hidden="1" customWidth="1"/>
    <col min="10245" max="10245" width="11.28515625" style="1" hidden="1" customWidth="1"/>
    <col min="10246" max="10246" width="10.7109375" style="1" hidden="1" customWidth="1"/>
    <col min="10247" max="10247" width="11.28515625" style="1" hidden="1" customWidth="1"/>
    <col min="10248" max="10248" width="11.42578125" style="1" hidden="1" customWidth="1"/>
    <col min="10249" max="10249" width="10.42578125" style="1" hidden="1" customWidth="1"/>
    <col min="10250" max="10250" width="11.28515625" style="1" hidden="1" customWidth="1"/>
    <col min="10251" max="10251" width="11.42578125" style="1" hidden="1" customWidth="1"/>
    <col min="10252" max="10252" width="10.7109375" style="1" hidden="1" customWidth="1"/>
    <col min="10253" max="10253" width="10.28515625" style="1" hidden="1" customWidth="1"/>
    <col min="10254" max="10254" width="11.5703125" style="1" hidden="1" customWidth="1"/>
    <col min="10255" max="10256" width="11.42578125" style="1" hidden="1" customWidth="1"/>
    <col min="10257" max="10257" width="10.85546875" style="1" hidden="1" customWidth="1"/>
    <col min="10258" max="10258" width="8.7109375" style="1" hidden="1" customWidth="1"/>
    <col min="10259" max="10259" width="6.28515625" style="1" hidden="1" customWidth="1"/>
    <col min="10260" max="10260" width="4" style="1" hidden="1" customWidth="1"/>
    <col min="10261" max="10261" width="8.7109375" style="1" hidden="1" customWidth="1"/>
    <col min="10262" max="10262" width="13.7109375" style="1" hidden="1" customWidth="1"/>
    <col min="10263" max="10263" width="20.7109375" style="1" hidden="1" customWidth="1"/>
    <col min="10264" max="10264" width="9.42578125" style="1" hidden="1" customWidth="1"/>
    <col min="10265" max="10265" width="3.28515625" style="1" hidden="1" customWidth="1"/>
    <col min="10266" max="10489" width="0" style="1" hidden="1"/>
    <col min="10490" max="10491" width="3.28515625" style="1" hidden="1" customWidth="1"/>
    <col min="10492" max="10492" width="30.7109375" style="1" hidden="1" customWidth="1"/>
    <col min="10493" max="10493" width="2.7109375" style="1" hidden="1" customWidth="1"/>
    <col min="10494" max="10494" width="12.85546875" style="1" hidden="1" customWidth="1"/>
    <col min="10495" max="10496" width="9.5703125" style="1" hidden="1" customWidth="1"/>
    <col min="10497" max="10497" width="7.42578125" style="1" hidden="1" customWidth="1"/>
    <col min="10498" max="10498" width="11.140625" style="1" hidden="1" customWidth="1"/>
    <col min="10499" max="10499" width="11.28515625" style="1" hidden="1" customWidth="1"/>
    <col min="10500" max="10500" width="11.7109375" style="1" hidden="1" customWidth="1"/>
    <col min="10501" max="10501" width="11.28515625" style="1" hidden="1" customWidth="1"/>
    <col min="10502" max="10502" width="10.7109375" style="1" hidden="1" customWidth="1"/>
    <col min="10503" max="10503" width="11.28515625" style="1" hidden="1" customWidth="1"/>
    <col min="10504" max="10504" width="11.42578125" style="1" hidden="1" customWidth="1"/>
    <col min="10505" max="10505" width="10.42578125" style="1" hidden="1" customWidth="1"/>
    <col min="10506" max="10506" width="11.28515625" style="1" hidden="1" customWidth="1"/>
    <col min="10507" max="10507" width="11.42578125" style="1" hidden="1" customWidth="1"/>
    <col min="10508" max="10508" width="10.7109375" style="1" hidden="1" customWidth="1"/>
    <col min="10509" max="10509" width="10.28515625" style="1" hidden="1" customWidth="1"/>
    <col min="10510" max="10510" width="11.5703125" style="1" hidden="1" customWidth="1"/>
    <col min="10511" max="10512" width="11.42578125" style="1" hidden="1" customWidth="1"/>
    <col min="10513" max="10513" width="10.85546875" style="1" hidden="1" customWidth="1"/>
    <col min="10514" max="10514" width="8.7109375" style="1" hidden="1" customWidth="1"/>
    <col min="10515" max="10515" width="6.28515625" style="1" hidden="1" customWidth="1"/>
    <col min="10516" max="10516" width="4" style="1" hidden="1" customWidth="1"/>
    <col min="10517" max="10517" width="8.7109375" style="1" hidden="1" customWidth="1"/>
    <col min="10518" max="10518" width="13.7109375" style="1" hidden="1" customWidth="1"/>
    <col min="10519" max="10519" width="20.7109375" style="1" hidden="1" customWidth="1"/>
    <col min="10520" max="10520" width="9.42578125" style="1" hidden="1" customWidth="1"/>
    <col min="10521" max="10521" width="3.28515625" style="1" hidden="1" customWidth="1"/>
    <col min="10522" max="10745" width="0" style="1" hidden="1"/>
    <col min="10746" max="10747" width="3.28515625" style="1" hidden="1" customWidth="1"/>
    <col min="10748" max="10748" width="30.7109375" style="1" hidden="1" customWidth="1"/>
    <col min="10749" max="10749" width="2.7109375" style="1" hidden="1" customWidth="1"/>
    <col min="10750" max="10750" width="12.85546875" style="1" hidden="1" customWidth="1"/>
    <col min="10751" max="10752" width="9.5703125" style="1" hidden="1" customWidth="1"/>
    <col min="10753" max="10753" width="7.42578125" style="1" hidden="1" customWidth="1"/>
    <col min="10754" max="10754" width="11.140625" style="1" hidden="1" customWidth="1"/>
    <col min="10755" max="10755" width="11.28515625" style="1" hidden="1" customWidth="1"/>
    <col min="10756" max="10756" width="11.7109375" style="1" hidden="1" customWidth="1"/>
    <col min="10757" max="10757" width="11.28515625" style="1" hidden="1" customWidth="1"/>
    <col min="10758" max="10758" width="10.7109375" style="1" hidden="1" customWidth="1"/>
    <col min="10759" max="10759" width="11.28515625" style="1" hidden="1" customWidth="1"/>
    <col min="10760" max="10760" width="11.42578125" style="1" hidden="1" customWidth="1"/>
    <col min="10761" max="10761" width="10.42578125" style="1" hidden="1" customWidth="1"/>
    <col min="10762" max="10762" width="11.28515625" style="1" hidden="1" customWidth="1"/>
    <col min="10763" max="10763" width="11.42578125" style="1" hidden="1" customWidth="1"/>
    <col min="10764" max="10764" width="10.7109375" style="1" hidden="1" customWidth="1"/>
    <col min="10765" max="10765" width="10.28515625" style="1" hidden="1" customWidth="1"/>
    <col min="10766" max="10766" width="11.5703125" style="1" hidden="1" customWidth="1"/>
    <col min="10767" max="10768" width="11.42578125" style="1" hidden="1" customWidth="1"/>
    <col min="10769" max="10769" width="10.85546875" style="1" hidden="1" customWidth="1"/>
    <col min="10770" max="10770" width="8.7109375" style="1" hidden="1" customWidth="1"/>
    <col min="10771" max="10771" width="6.28515625" style="1" hidden="1" customWidth="1"/>
    <col min="10772" max="10772" width="4" style="1" hidden="1" customWidth="1"/>
    <col min="10773" max="10773" width="8.7109375" style="1" hidden="1" customWidth="1"/>
    <col min="10774" max="10774" width="13.7109375" style="1" hidden="1" customWidth="1"/>
    <col min="10775" max="10775" width="20.7109375" style="1" hidden="1" customWidth="1"/>
    <col min="10776" max="10776" width="9.42578125" style="1" hidden="1" customWidth="1"/>
    <col min="10777" max="10777" width="3.28515625" style="1" hidden="1" customWidth="1"/>
    <col min="10778" max="11001" width="0" style="1" hidden="1"/>
    <col min="11002" max="11003" width="3.28515625" style="1" hidden="1" customWidth="1"/>
    <col min="11004" max="11004" width="30.7109375" style="1" hidden="1" customWidth="1"/>
    <col min="11005" max="11005" width="2.7109375" style="1" hidden="1" customWidth="1"/>
    <col min="11006" max="11006" width="12.85546875" style="1" hidden="1" customWidth="1"/>
    <col min="11007" max="11008" width="9.5703125" style="1" hidden="1" customWidth="1"/>
    <col min="11009" max="11009" width="7.42578125" style="1" hidden="1" customWidth="1"/>
    <col min="11010" max="11010" width="11.140625" style="1" hidden="1" customWidth="1"/>
    <col min="11011" max="11011" width="11.28515625" style="1" hidden="1" customWidth="1"/>
    <col min="11012" max="11012" width="11.7109375" style="1" hidden="1" customWidth="1"/>
    <col min="11013" max="11013" width="11.28515625" style="1" hidden="1" customWidth="1"/>
    <col min="11014" max="11014" width="10.7109375" style="1" hidden="1" customWidth="1"/>
    <col min="11015" max="11015" width="11.28515625" style="1" hidden="1" customWidth="1"/>
    <col min="11016" max="11016" width="11.42578125" style="1" hidden="1" customWidth="1"/>
    <col min="11017" max="11017" width="10.42578125" style="1" hidden="1" customWidth="1"/>
    <col min="11018" max="11018" width="11.28515625" style="1" hidden="1" customWidth="1"/>
    <col min="11019" max="11019" width="11.42578125" style="1" hidden="1" customWidth="1"/>
    <col min="11020" max="11020" width="10.7109375" style="1" hidden="1" customWidth="1"/>
    <col min="11021" max="11021" width="10.28515625" style="1" hidden="1" customWidth="1"/>
    <col min="11022" max="11022" width="11.5703125" style="1" hidden="1" customWidth="1"/>
    <col min="11023" max="11024" width="11.42578125" style="1" hidden="1" customWidth="1"/>
    <col min="11025" max="11025" width="10.85546875" style="1" hidden="1" customWidth="1"/>
    <col min="11026" max="11026" width="8.7109375" style="1" hidden="1" customWidth="1"/>
    <col min="11027" max="11027" width="6.28515625" style="1" hidden="1" customWidth="1"/>
    <col min="11028" max="11028" width="4" style="1" hidden="1" customWidth="1"/>
    <col min="11029" max="11029" width="8.7109375" style="1" hidden="1" customWidth="1"/>
    <col min="11030" max="11030" width="13.7109375" style="1" hidden="1" customWidth="1"/>
    <col min="11031" max="11031" width="20.7109375" style="1" hidden="1" customWidth="1"/>
    <col min="11032" max="11032" width="9.42578125" style="1" hidden="1" customWidth="1"/>
    <col min="11033" max="11033" width="3.28515625" style="1" hidden="1" customWidth="1"/>
    <col min="11034" max="11257" width="0" style="1" hidden="1"/>
    <col min="11258" max="11259" width="3.28515625" style="1" hidden="1" customWidth="1"/>
    <col min="11260" max="11260" width="30.7109375" style="1" hidden="1" customWidth="1"/>
    <col min="11261" max="11261" width="2.7109375" style="1" hidden="1" customWidth="1"/>
    <col min="11262" max="11262" width="12.85546875" style="1" hidden="1" customWidth="1"/>
    <col min="11263" max="11264" width="9.5703125" style="1" hidden="1" customWidth="1"/>
    <col min="11265" max="11265" width="7.42578125" style="1" hidden="1" customWidth="1"/>
    <col min="11266" max="11266" width="11.140625" style="1" hidden="1" customWidth="1"/>
    <col min="11267" max="11267" width="11.28515625" style="1" hidden="1" customWidth="1"/>
    <col min="11268" max="11268" width="11.7109375" style="1" hidden="1" customWidth="1"/>
    <col min="11269" max="11269" width="11.28515625" style="1" hidden="1" customWidth="1"/>
    <col min="11270" max="11270" width="10.7109375" style="1" hidden="1" customWidth="1"/>
    <col min="11271" max="11271" width="11.28515625" style="1" hidden="1" customWidth="1"/>
    <col min="11272" max="11272" width="11.42578125" style="1" hidden="1" customWidth="1"/>
    <col min="11273" max="11273" width="10.42578125" style="1" hidden="1" customWidth="1"/>
    <col min="11274" max="11274" width="11.28515625" style="1" hidden="1" customWidth="1"/>
    <col min="11275" max="11275" width="11.42578125" style="1" hidden="1" customWidth="1"/>
    <col min="11276" max="11276" width="10.7109375" style="1" hidden="1" customWidth="1"/>
    <col min="11277" max="11277" width="10.28515625" style="1" hidden="1" customWidth="1"/>
    <col min="11278" max="11278" width="11.5703125" style="1" hidden="1" customWidth="1"/>
    <col min="11279" max="11280" width="11.42578125" style="1" hidden="1" customWidth="1"/>
    <col min="11281" max="11281" width="10.85546875" style="1" hidden="1" customWidth="1"/>
    <col min="11282" max="11282" width="8.7109375" style="1" hidden="1" customWidth="1"/>
    <col min="11283" max="11283" width="6.28515625" style="1" hidden="1" customWidth="1"/>
    <col min="11284" max="11284" width="4" style="1" hidden="1" customWidth="1"/>
    <col min="11285" max="11285" width="8.7109375" style="1" hidden="1" customWidth="1"/>
    <col min="11286" max="11286" width="13.7109375" style="1" hidden="1" customWidth="1"/>
    <col min="11287" max="11287" width="20.7109375" style="1" hidden="1" customWidth="1"/>
    <col min="11288" max="11288" width="9.42578125" style="1" hidden="1" customWidth="1"/>
    <col min="11289" max="11289" width="3.28515625" style="1" hidden="1" customWidth="1"/>
    <col min="11290" max="11513" width="0" style="1" hidden="1"/>
    <col min="11514" max="11515" width="3.28515625" style="1" hidden="1" customWidth="1"/>
    <col min="11516" max="11516" width="30.7109375" style="1" hidden="1" customWidth="1"/>
    <col min="11517" max="11517" width="2.7109375" style="1" hidden="1" customWidth="1"/>
    <col min="11518" max="11518" width="12.85546875" style="1" hidden="1" customWidth="1"/>
    <col min="11519" max="11520" width="9.5703125" style="1" hidden="1" customWidth="1"/>
    <col min="11521" max="11521" width="7.42578125" style="1" hidden="1" customWidth="1"/>
    <col min="11522" max="11522" width="11.140625" style="1" hidden="1" customWidth="1"/>
    <col min="11523" max="11523" width="11.28515625" style="1" hidden="1" customWidth="1"/>
    <col min="11524" max="11524" width="11.7109375" style="1" hidden="1" customWidth="1"/>
    <col min="11525" max="11525" width="11.28515625" style="1" hidden="1" customWidth="1"/>
    <col min="11526" max="11526" width="10.7109375" style="1" hidden="1" customWidth="1"/>
    <col min="11527" max="11527" width="11.28515625" style="1" hidden="1" customWidth="1"/>
    <col min="11528" max="11528" width="11.42578125" style="1" hidden="1" customWidth="1"/>
    <col min="11529" max="11529" width="10.42578125" style="1" hidden="1" customWidth="1"/>
    <col min="11530" max="11530" width="11.28515625" style="1" hidden="1" customWidth="1"/>
    <col min="11531" max="11531" width="11.42578125" style="1" hidden="1" customWidth="1"/>
    <col min="11532" max="11532" width="10.7109375" style="1" hidden="1" customWidth="1"/>
    <col min="11533" max="11533" width="10.28515625" style="1" hidden="1" customWidth="1"/>
    <col min="11534" max="11534" width="11.5703125" style="1" hidden="1" customWidth="1"/>
    <col min="11535" max="11536" width="11.42578125" style="1" hidden="1" customWidth="1"/>
    <col min="11537" max="11537" width="10.85546875" style="1" hidden="1" customWidth="1"/>
    <col min="11538" max="11538" width="8.7109375" style="1" hidden="1" customWidth="1"/>
    <col min="11539" max="11539" width="6.28515625" style="1" hidden="1" customWidth="1"/>
    <col min="11540" max="11540" width="4" style="1" hidden="1" customWidth="1"/>
    <col min="11541" max="11541" width="8.7109375" style="1" hidden="1" customWidth="1"/>
    <col min="11542" max="11542" width="13.7109375" style="1" hidden="1" customWidth="1"/>
    <col min="11543" max="11543" width="20.7109375" style="1" hidden="1" customWidth="1"/>
    <col min="11544" max="11544" width="9.42578125" style="1" hidden="1" customWidth="1"/>
    <col min="11545" max="11545" width="3.28515625" style="1" hidden="1" customWidth="1"/>
    <col min="11546" max="11769" width="0" style="1" hidden="1"/>
    <col min="11770" max="11771" width="3.28515625" style="1" hidden="1" customWidth="1"/>
    <col min="11772" max="11772" width="30.7109375" style="1" hidden="1" customWidth="1"/>
    <col min="11773" max="11773" width="2.7109375" style="1" hidden="1" customWidth="1"/>
    <col min="11774" max="11774" width="12.85546875" style="1" hidden="1" customWidth="1"/>
    <col min="11775" max="11776" width="9.5703125" style="1" hidden="1" customWidth="1"/>
    <col min="11777" max="11777" width="7.42578125" style="1" hidden="1" customWidth="1"/>
    <col min="11778" max="11778" width="11.140625" style="1" hidden="1" customWidth="1"/>
    <col min="11779" max="11779" width="11.28515625" style="1" hidden="1" customWidth="1"/>
    <col min="11780" max="11780" width="11.7109375" style="1" hidden="1" customWidth="1"/>
    <col min="11781" max="11781" width="11.28515625" style="1" hidden="1" customWidth="1"/>
    <col min="11782" max="11782" width="10.7109375" style="1" hidden="1" customWidth="1"/>
    <col min="11783" max="11783" width="11.28515625" style="1" hidden="1" customWidth="1"/>
    <col min="11784" max="11784" width="11.42578125" style="1" hidden="1" customWidth="1"/>
    <col min="11785" max="11785" width="10.42578125" style="1" hidden="1" customWidth="1"/>
    <col min="11786" max="11786" width="11.28515625" style="1" hidden="1" customWidth="1"/>
    <col min="11787" max="11787" width="11.42578125" style="1" hidden="1" customWidth="1"/>
    <col min="11788" max="11788" width="10.7109375" style="1" hidden="1" customWidth="1"/>
    <col min="11789" max="11789" width="10.28515625" style="1" hidden="1" customWidth="1"/>
    <col min="11790" max="11790" width="11.5703125" style="1" hidden="1" customWidth="1"/>
    <col min="11791" max="11792" width="11.42578125" style="1" hidden="1" customWidth="1"/>
    <col min="11793" max="11793" width="10.85546875" style="1" hidden="1" customWidth="1"/>
    <col min="11794" max="11794" width="8.7109375" style="1" hidden="1" customWidth="1"/>
    <col min="11795" max="11795" width="6.28515625" style="1" hidden="1" customWidth="1"/>
    <col min="11796" max="11796" width="4" style="1" hidden="1" customWidth="1"/>
    <col min="11797" max="11797" width="8.7109375" style="1" hidden="1" customWidth="1"/>
    <col min="11798" max="11798" width="13.7109375" style="1" hidden="1" customWidth="1"/>
    <col min="11799" max="11799" width="20.7109375" style="1" hidden="1" customWidth="1"/>
    <col min="11800" max="11800" width="9.42578125" style="1" hidden="1" customWidth="1"/>
    <col min="11801" max="11801" width="3.28515625" style="1" hidden="1" customWidth="1"/>
    <col min="11802" max="12025" width="0" style="1" hidden="1"/>
    <col min="12026" max="12027" width="3.28515625" style="1" hidden="1" customWidth="1"/>
    <col min="12028" max="12028" width="30.7109375" style="1" hidden="1" customWidth="1"/>
    <col min="12029" max="12029" width="2.7109375" style="1" hidden="1" customWidth="1"/>
    <col min="12030" max="12030" width="12.85546875" style="1" hidden="1" customWidth="1"/>
    <col min="12031" max="12032" width="9.5703125" style="1" hidden="1" customWidth="1"/>
    <col min="12033" max="12033" width="7.42578125" style="1" hidden="1" customWidth="1"/>
    <col min="12034" max="12034" width="11.140625" style="1" hidden="1" customWidth="1"/>
    <col min="12035" max="12035" width="11.28515625" style="1" hidden="1" customWidth="1"/>
    <col min="12036" max="12036" width="11.7109375" style="1" hidden="1" customWidth="1"/>
    <col min="12037" max="12037" width="11.28515625" style="1" hidden="1" customWidth="1"/>
    <col min="12038" max="12038" width="10.7109375" style="1" hidden="1" customWidth="1"/>
    <col min="12039" max="12039" width="11.28515625" style="1" hidden="1" customWidth="1"/>
    <col min="12040" max="12040" width="11.42578125" style="1" hidden="1" customWidth="1"/>
    <col min="12041" max="12041" width="10.42578125" style="1" hidden="1" customWidth="1"/>
    <col min="12042" max="12042" width="11.28515625" style="1" hidden="1" customWidth="1"/>
    <col min="12043" max="12043" width="11.42578125" style="1" hidden="1" customWidth="1"/>
    <col min="12044" max="12044" width="10.7109375" style="1" hidden="1" customWidth="1"/>
    <col min="12045" max="12045" width="10.28515625" style="1" hidden="1" customWidth="1"/>
    <col min="12046" max="12046" width="11.5703125" style="1" hidden="1" customWidth="1"/>
    <col min="12047" max="12048" width="11.42578125" style="1" hidden="1" customWidth="1"/>
    <col min="12049" max="12049" width="10.85546875" style="1" hidden="1" customWidth="1"/>
    <col min="12050" max="12050" width="8.7109375" style="1" hidden="1" customWidth="1"/>
    <col min="12051" max="12051" width="6.28515625" style="1" hidden="1" customWidth="1"/>
    <col min="12052" max="12052" width="4" style="1" hidden="1" customWidth="1"/>
    <col min="12053" max="12053" width="8.7109375" style="1" hidden="1" customWidth="1"/>
    <col min="12054" max="12054" width="13.7109375" style="1" hidden="1" customWidth="1"/>
    <col min="12055" max="12055" width="20.7109375" style="1" hidden="1" customWidth="1"/>
    <col min="12056" max="12056" width="9.42578125" style="1" hidden="1" customWidth="1"/>
    <col min="12057" max="12057" width="3.28515625" style="1" hidden="1" customWidth="1"/>
    <col min="12058" max="12281" width="0" style="1" hidden="1"/>
    <col min="12282" max="12283" width="3.28515625" style="1" hidden="1" customWidth="1"/>
    <col min="12284" max="12284" width="30.7109375" style="1" hidden="1" customWidth="1"/>
    <col min="12285" max="12285" width="2.7109375" style="1" hidden="1" customWidth="1"/>
    <col min="12286" max="12286" width="12.85546875" style="1" hidden="1" customWidth="1"/>
    <col min="12287" max="12288" width="9.5703125" style="1" hidden="1" customWidth="1"/>
    <col min="12289" max="12289" width="7.42578125" style="1" hidden="1" customWidth="1"/>
    <col min="12290" max="12290" width="11.140625" style="1" hidden="1" customWidth="1"/>
    <col min="12291" max="12291" width="11.28515625" style="1" hidden="1" customWidth="1"/>
    <col min="12292" max="12292" width="11.7109375" style="1" hidden="1" customWidth="1"/>
    <col min="12293" max="12293" width="11.28515625" style="1" hidden="1" customWidth="1"/>
    <col min="12294" max="12294" width="10.7109375" style="1" hidden="1" customWidth="1"/>
    <col min="12295" max="12295" width="11.28515625" style="1" hidden="1" customWidth="1"/>
    <col min="12296" max="12296" width="11.42578125" style="1" hidden="1" customWidth="1"/>
    <col min="12297" max="12297" width="10.42578125" style="1" hidden="1" customWidth="1"/>
    <col min="12298" max="12298" width="11.28515625" style="1" hidden="1" customWidth="1"/>
    <col min="12299" max="12299" width="11.42578125" style="1" hidden="1" customWidth="1"/>
    <col min="12300" max="12300" width="10.7109375" style="1" hidden="1" customWidth="1"/>
    <col min="12301" max="12301" width="10.28515625" style="1" hidden="1" customWidth="1"/>
    <col min="12302" max="12302" width="11.5703125" style="1" hidden="1" customWidth="1"/>
    <col min="12303" max="12304" width="11.42578125" style="1" hidden="1" customWidth="1"/>
    <col min="12305" max="12305" width="10.85546875" style="1" hidden="1" customWidth="1"/>
    <col min="12306" max="12306" width="8.7109375" style="1" hidden="1" customWidth="1"/>
    <col min="12307" max="12307" width="6.28515625" style="1" hidden="1" customWidth="1"/>
    <col min="12308" max="12308" width="4" style="1" hidden="1" customWidth="1"/>
    <col min="12309" max="12309" width="8.7109375" style="1" hidden="1" customWidth="1"/>
    <col min="12310" max="12310" width="13.7109375" style="1" hidden="1" customWidth="1"/>
    <col min="12311" max="12311" width="20.7109375" style="1" hidden="1" customWidth="1"/>
    <col min="12312" max="12312" width="9.42578125" style="1" hidden="1" customWidth="1"/>
    <col min="12313" max="12313" width="3.28515625" style="1" hidden="1" customWidth="1"/>
    <col min="12314" max="12537" width="0" style="1" hidden="1"/>
    <col min="12538" max="12539" width="3.28515625" style="1" hidden="1" customWidth="1"/>
    <col min="12540" max="12540" width="30.7109375" style="1" hidden="1" customWidth="1"/>
    <col min="12541" max="12541" width="2.7109375" style="1" hidden="1" customWidth="1"/>
    <col min="12542" max="12542" width="12.85546875" style="1" hidden="1" customWidth="1"/>
    <col min="12543" max="12544" width="9.5703125" style="1" hidden="1" customWidth="1"/>
    <col min="12545" max="12545" width="7.42578125" style="1" hidden="1" customWidth="1"/>
    <col min="12546" max="12546" width="11.140625" style="1" hidden="1" customWidth="1"/>
    <col min="12547" max="12547" width="11.28515625" style="1" hidden="1" customWidth="1"/>
    <col min="12548" max="12548" width="11.7109375" style="1" hidden="1" customWidth="1"/>
    <col min="12549" max="12549" width="11.28515625" style="1" hidden="1" customWidth="1"/>
    <col min="12550" max="12550" width="10.7109375" style="1" hidden="1" customWidth="1"/>
    <col min="12551" max="12551" width="11.28515625" style="1" hidden="1" customWidth="1"/>
    <col min="12552" max="12552" width="11.42578125" style="1" hidden="1" customWidth="1"/>
    <col min="12553" max="12553" width="10.42578125" style="1" hidden="1" customWidth="1"/>
    <col min="12554" max="12554" width="11.28515625" style="1" hidden="1" customWidth="1"/>
    <col min="12555" max="12555" width="11.42578125" style="1" hidden="1" customWidth="1"/>
    <col min="12556" max="12556" width="10.7109375" style="1" hidden="1" customWidth="1"/>
    <col min="12557" max="12557" width="10.28515625" style="1" hidden="1" customWidth="1"/>
    <col min="12558" max="12558" width="11.5703125" style="1" hidden="1" customWidth="1"/>
    <col min="12559" max="12560" width="11.42578125" style="1" hidden="1" customWidth="1"/>
    <col min="12561" max="12561" width="10.85546875" style="1" hidden="1" customWidth="1"/>
    <col min="12562" max="12562" width="8.7109375" style="1" hidden="1" customWidth="1"/>
    <col min="12563" max="12563" width="6.28515625" style="1" hidden="1" customWidth="1"/>
    <col min="12564" max="12564" width="4" style="1" hidden="1" customWidth="1"/>
    <col min="12565" max="12565" width="8.7109375" style="1" hidden="1" customWidth="1"/>
    <col min="12566" max="12566" width="13.7109375" style="1" hidden="1" customWidth="1"/>
    <col min="12567" max="12567" width="20.7109375" style="1" hidden="1" customWidth="1"/>
    <col min="12568" max="12568" width="9.42578125" style="1" hidden="1" customWidth="1"/>
    <col min="12569" max="12569" width="3.28515625" style="1" hidden="1" customWidth="1"/>
    <col min="12570" max="12793" width="0" style="1" hidden="1"/>
    <col min="12794" max="12795" width="3.28515625" style="1" hidden="1" customWidth="1"/>
    <col min="12796" max="12796" width="30.7109375" style="1" hidden="1" customWidth="1"/>
    <col min="12797" max="12797" width="2.7109375" style="1" hidden="1" customWidth="1"/>
    <col min="12798" max="12798" width="12.85546875" style="1" hidden="1" customWidth="1"/>
    <col min="12799" max="12800" width="9.5703125" style="1" hidden="1" customWidth="1"/>
    <col min="12801" max="12801" width="7.42578125" style="1" hidden="1" customWidth="1"/>
    <col min="12802" max="12802" width="11.140625" style="1" hidden="1" customWidth="1"/>
    <col min="12803" max="12803" width="11.28515625" style="1" hidden="1" customWidth="1"/>
    <col min="12804" max="12804" width="11.7109375" style="1" hidden="1" customWidth="1"/>
    <col min="12805" max="12805" width="11.28515625" style="1" hidden="1" customWidth="1"/>
    <col min="12806" max="12806" width="10.7109375" style="1" hidden="1" customWidth="1"/>
    <col min="12807" max="12807" width="11.28515625" style="1" hidden="1" customWidth="1"/>
    <col min="12808" max="12808" width="11.42578125" style="1" hidden="1" customWidth="1"/>
    <col min="12809" max="12809" width="10.42578125" style="1" hidden="1" customWidth="1"/>
    <col min="12810" max="12810" width="11.28515625" style="1" hidden="1" customWidth="1"/>
    <col min="12811" max="12811" width="11.42578125" style="1" hidden="1" customWidth="1"/>
    <col min="12812" max="12812" width="10.7109375" style="1" hidden="1" customWidth="1"/>
    <col min="12813" max="12813" width="10.28515625" style="1" hidden="1" customWidth="1"/>
    <col min="12814" max="12814" width="11.5703125" style="1" hidden="1" customWidth="1"/>
    <col min="12815" max="12816" width="11.42578125" style="1" hidden="1" customWidth="1"/>
    <col min="12817" max="12817" width="10.85546875" style="1" hidden="1" customWidth="1"/>
    <col min="12818" max="12818" width="8.7109375" style="1" hidden="1" customWidth="1"/>
    <col min="12819" max="12819" width="6.28515625" style="1" hidden="1" customWidth="1"/>
    <col min="12820" max="12820" width="4" style="1" hidden="1" customWidth="1"/>
    <col min="12821" max="12821" width="8.7109375" style="1" hidden="1" customWidth="1"/>
    <col min="12822" max="12822" width="13.7109375" style="1" hidden="1" customWidth="1"/>
    <col min="12823" max="12823" width="20.7109375" style="1" hidden="1" customWidth="1"/>
    <col min="12824" max="12824" width="9.42578125" style="1" hidden="1" customWidth="1"/>
    <col min="12825" max="12825" width="3.28515625" style="1" hidden="1" customWidth="1"/>
    <col min="12826" max="13049" width="0" style="1" hidden="1"/>
    <col min="13050" max="13051" width="3.28515625" style="1" hidden="1" customWidth="1"/>
    <col min="13052" max="13052" width="30.7109375" style="1" hidden="1" customWidth="1"/>
    <col min="13053" max="13053" width="2.7109375" style="1" hidden="1" customWidth="1"/>
    <col min="13054" max="13054" width="12.85546875" style="1" hidden="1" customWidth="1"/>
    <col min="13055" max="13056" width="9.5703125" style="1" hidden="1" customWidth="1"/>
    <col min="13057" max="13057" width="7.42578125" style="1" hidden="1" customWidth="1"/>
    <col min="13058" max="13058" width="11.140625" style="1" hidden="1" customWidth="1"/>
    <col min="13059" max="13059" width="11.28515625" style="1" hidden="1" customWidth="1"/>
    <col min="13060" max="13060" width="11.7109375" style="1" hidden="1" customWidth="1"/>
    <col min="13061" max="13061" width="11.28515625" style="1" hidden="1" customWidth="1"/>
    <col min="13062" max="13062" width="10.7109375" style="1" hidden="1" customWidth="1"/>
    <col min="13063" max="13063" width="11.28515625" style="1" hidden="1" customWidth="1"/>
    <col min="13064" max="13064" width="11.42578125" style="1" hidden="1" customWidth="1"/>
    <col min="13065" max="13065" width="10.42578125" style="1" hidden="1" customWidth="1"/>
    <col min="13066" max="13066" width="11.28515625" style="1" hidden="1" customWidth="1"/>
    <col min="13067" max="13067" width="11.42578125" style="1" hidden="1" customWidth="1"/>
    <col min="13068" max="13068" width="10.7109375" style="1" hidden="1" customWidth="1"/>
    <col min="13069" max="13069" width="10.28515625" style="1" hidden="1" customWidth="1"/>
    <col min="13070" max="13070" width="11.5703125" style="1" hidden="1" customWidth="1"/>
    <col min="13071" max="13072" width="11.42578125" style="1" hidden="1" customWidth="1"/>
    <col min="13073" max="13073" width="10.85546875" style="1" hidden="1" customWidth="1"/>
    <col min="13074" max="13074" width="8.7109375" style="1" hidden="1" customWidth="1"/>
    <col min="13075" max="13075" width="6.28515625" style="1" hidden="1" customWidth="1"/>
    <col min="13076" max="13076" width="4" style="1" hidden="1" customWidth="1"/>
    <col min="13077" max="13077" width="8.7109375" style="1" hidden="1" customWidth="1"/>
    <col min="13078" max="13078" width="13.7109375" style="1" hidden="1" customWidth="1"/>
    <col min="13079" max="13079" width="20.7109375" style="1" hidden="1" customWidth="1"/>
    <col min="13080" max="13080" width="9.42578125" style="1" hidden="1" customWidth="1"/>
    <col min="13081" max="13081" width="3.28515625" style="1" hidden="1" customWidth="1"/>
    <col min="13082" max="13305" width="0" style="1" hidden="1"/>
    <col min="13306" max="13307" width="3.28515625" style="1" hidden="1" customWidth="1"/>
    <col min="13308" max="13308" width="30.7109375" style="1" hidden="1" customWidth="1"/>
    <col min="13309" max="13309" width="2.7109375" style="1" hidden="1" customWidth="1"/>
    <col min="13310" max="13310" width="12.85546875" style="1" hidden="1" customWidth="1"/>
    <col min="13311" max="13312" width="9.5703125" style="1" hidden="1" customWidth="1"/>
    <col min="13313" max="13313" width="7.42578125" style="1" hidden="1" customWidth="1"/>
    <col min="13314" max="13314" width="11.140625" style="1" hidden="1" customWidth="1"/>
    <col min="13315" max="13315" width="11.28515625" style="1" hidden="1" customWidth="1"/>
    <col min="13316" max="13316" width="11.7109375" style="1" hidden="1" customWidth="1"/>
    <col min="13317" max="13317" width="11.28515625" style="1" hidden="1" customWidth="1"/>
    <col min="13318" max="13318" width="10.7109375" style="1" hidden="1" customWidth="1"/>
    <col min="13319" max="13319" width="11.28515625" style="1" hidden="1" customWidth="1"/>
    <col min="13320" max="13320" width="11.42578125" style="1" hidden="1" customWidth="1"/>
    <col min="13321" max="13321" width="10.42578125" style="1" hidden="1" customWidth="1"/>
    <col min="13322" max="13322" width="11.28515625" style="1" hidden="1" customWidth="1"/>
    <col min="13323" max="13323" width="11.42578125" style="1" hidden="1" customWidth="1"/>
    <col min="13324" max="13324" width="10.7109375" style="1" hidden="1" customWidth="1"/>
    <col min="13325" max="13325" width="10.28515625" style="1" hidden="1" customWidth="1"/>
    <col min="13326" max="13326" width="11.5703125" style="1" hidden="1" customWidth="1"/>
    <col min="13327" max="13328" width="11.42578125" style="1" hidden="1" customWidth="1"/>
    <col min="13329" max="13329" width="10.85546875" style="1" hidden="1" customWidth="1"/>
    <col min="13330" max="13330" width="8.7109375" style="1" hidden="1" customWidth="1"/>
    <col min="13331" max="13331" width="6.28515625" style="1" hidden="1" customWidth="1"/>
    <col min="13332" max="13332" width="4" style="1" hidden="1" customWidth="1"/>
    <col min="13333" max="13333" width="8.7109375" style="1" hidden="1" customWidth="1"/>
    <col min="13334" max="13334" width="13.7109375" style="1" hidden="1" customWidth="1"/>
    <col min="13335" max="13335" width="20.7109375" style="1" hidden="1" customWidth="1"/>
    <col min="13336" max="13336" width="9.42578125" style="1" hidden="1" customWidth="1"/>
    <col min="13337" max="13337" width="3.28515625" style="1" hidden="1" customWidth="1"/>
    <col min="13338" max="13561" width="0" style="1" hidden="1"/>
    <col min="13562" max="13563" width="3.28515625" style="1" hidden="1" customWidth="1"/>
    <col min="13564" max="13564" width="30.7109375" style="1" hidden="1" customWidth="1"/>
    <col min="13565" max="13565" width="2.7109375" style="1" hidden="1" customWidth="1"/>
    <col min="13566" max="13566" width="12.85546875" style="1" hidden="1" customWidth="1"/>
    <col min="13567" max="13568" width="9.5703125" style="1" hidden="1" customWidth="1"/>
    <col min="13569" max="13569" width="7.42578125" style="1" hidden="1" customWidth="1"/>
    <col min="13570" max="13570" width="11.140625" style="1" hidden="1" customWidth="1"/>
    <col min="13571" max="13571" width="11.28515625" style="1" hidden="1" customWidth="1"/>
    <col min="13572" max="13572" width="11.7109375" style="1" hidden="1" customWidth="1"/>
    <col min="13573" max="13573" width="11.28515625" style="1" hidden="1" customWidth="1"/>
    <col min="13574" max="13574" width="10.7109375" style="1" hidden="1" customWidth="1"/>
    <col min="13575" max="13575" width="11.28515625" style="1" hidden="1" customWidth="1"/>
    <col min="13576" max="13576" width="11.42578125" style="1" hidden="1" customWidth="1"/>
    <col min="13577" max="13577" width="10.42578125" style="1" hidden="1" customWidth="1"/>
    <col min="13578" max="13578" width="11.28515625" style="1" hidden="1" customWidth="1"/>
    <col min="13579" max="13579" width="11.42578125" style="1" hidden="1" customWidth="1"/>
    <col min="13580" max="13580" width="10.7109375" style="1" hidden="1" customWidth="1"/>
    <col min="13581" max="13581" width="10.28515625" style="1" hidden="1" customWidth="1"/>
    <col min="13582" max="13582" width="11.5703125" style="1" hidden="1" customWidth="1"/>
    <col min="13583" max="13584" width="11.42578125" style="1" hidden="1" customWidth="1"/>
    <col min="13585" max="13585" width="10.85546875" style="1" hidden="1" customWidth="1"/>
    <col min="13586" max="13586" width="8.7109375" style="1" hidden="1" customWidth="1"/>
    <col min="13587" max="13587" width="6.28515625" style="1" hidden="1" customWidth="1"/>
    <col min="13588" max="13588" width="4" style="1" hidden="1" customWidth="1"/>
    <col min="13589" max="13589" width="8.7109375" style="1" hidden="1" customWidth="1"/>
    <col min="13590" max="13590" width="13.7109375" style="1" hidden="1" customWidth="1"/>
    <col min="13591" max="13591" width="20.7109375" style="1" hidden="1" customWidth="1"/>
    <col min="13592" max="13592" width="9.42578125" style="1" hidden="1" customWidth="1"/>
    <col min="13593" max="13593" width="3.28515625" style="1" hidden="1" customWidth="1"/>
    <col min="13594" max="13817" width="0" style="1" hidden="1"/>
    <col min="13818" max="13819" width="3.28515625" style="1" hidden="1" customWidth="1"/>
    <col min="13820" max="13820" width="30.7109375" style="1" hidden="1" customWidth="1"/>
    <col min="13821" max="13821" width="2.7109375" style="1" hidden="1" customWidth="1"/>
    <col min="13822" max="13822" width="12.85546875" style="1" hidden="1" customWidth="1"/>
    <col min="13823" max="13824" width="9.5703125" style="1" hidden="1" customWidth="1"/>
    <col min="13825" max="13825" width="7.42578125" style="1" hidden="1" customWidth="1"/>
    <col min="13826" max="13826" width="11.140625" style="1" hidden="1" customWidth="1"/>
    <col min="13827" max="13827" width="11.28515625" style="1" hidden="1" customWidth="1"/>
    <col min="13828" max="13828" width="11.7109375" style="1" hidden="1" customWidth="1"/>
    <col min="13829" max="13829" width="11.28515625" style="1" hidden="1" customWidth="1"/>
    <col min="13830" max="13830" width="10.7109375" style="1" hidden="1" customWidth="1"/>
    <col min="13831" max="13831" width="11.28515625" style="1" hidden="1" customWidth="1"/>
    <col min="13832" max="13832" width="11.42578125" style="1" hidden="1" customWidth="1"/>
    <col min="13833" max="13833" width="10.42578125" style="1" hidden="1" customWidth="1"/>
    <col min="13834" max="13834" width="11.28515625" style="1" hidden="1" customWidth="1"/>
    <col min="13835" max="13835" width="11.42578125" style="1" hidden="1" customWidth="1"/>
    <col min="13836" max="13836" width="10.7109375" style="1" hidden="1" customWidth="1"/>
    <col min="13837" max="13837" width="10.28515625" style="1" hidden="1" customWidth="1"/>
    <col min="13838" max="13838" width="11.5703125" style="1" hidden="1" customWidth="1"/>
    <col min="13839" max="13840" width="11.42578125" style="1" hidden="1" customWidth="1"/>
    <col min="13841" max="13841" width="10.85546875" style="1" hidden="1" customWidth="1"/>
    <col min="13842" max="13842" width="8.7109375" style="1" hidden="1" customWidth="1"/>
    <col min="13843" max="13843" width="6.28515625" style="1" hidden="1" customWidth="1"/>
    <col min="13844" max="13844" width="4" style="1" hidden="1" customWidth="1"/>
    <col min="13845" max="13845" width="8.7109375" style="1" hidden="1" customWidth="1"/>
    <col min="13846" max="13846" width="13.7109375" style="1" hidden="1" customWidth="1"/>
    <col min="13847" max="13847" width="20.7109375" style="1" hidden="1" customWidth="1"/>
    <col min="13848" max="13848" width="9.42578125" style="1" hidden="1" customWidth="1"/>
    <col min="13849" max="13849" width="3.28515625" style="1" hidden="1" customWidth="1"/>
    <col min="13850" max="14073" width="0" style="1" hidden="1"/>
    <col min="14074" max="14075" width="3.28515625" style="1" hidden="1" customWidth="1"/>
    <col min="14076" max="14076" width="30.7109375" style="1" hidden="1" customWidth="1"/>
    <col min="14077" max="14077" width="2.7109375" style="1" hidden="1" customWidth="1"/>
    <col min="14078" max="14078" width="12.85546875" style="1" hidden="1" customWidth="1"/>
    <col min="14079" max="14080" width="9.5703125" style="1" hidden="1" customWidth="1"/>
    <col min="14081" max="14081" width="7.42578125" style="1" hidden="1" customWidth="1"/>
    <col min="14082" max="14082" width="11.140625" style="1" hidden="1" customWidth="1"/>
    <col min="14083" max="14083" width="11.28515625" style="1" hidden="1" customWidth="1"/>
    <col min="14084" max="14084" width="11.7109375" style="1" hidden="1" customWidth="1"/>
    <col min="14085" max="14085" width="11.28515625" style="1" hidden="1" customWidth="1"/>
    <col min="14086" max="14086" width="10.7109375" style="1" hidden="1" customWidth="1"/>
    <col min="14087" max="14087" width="11.28515625" style="1" hidden="1" customWidth="1"/>
    <col min="14088" max="14088" width="11.42578125" style="1" hidden="1" customWidth="1"/>
    <col min="14089" max="14089" width="10.42578125" style="1" hidden="1" customWidth="1"/>
    <col min="14090" max="14090" width="11.28515625" style="1" hidden="1" customWidth="1"/>
    <col min="14091" max="14091" width="11.42578125" style="1" hidden="1" customWidth="1"/>
    <col min="14092" max="14092" width="10.7109375" style="1" hidden="1" customWidth="1"/>
    <col min="14093" max="14093" width="10.28515625" style="1" hidden="1" customWidth="1"/>
    <col min="14094" max="14094" width="11.5703125" style="1" hidden="1" customWidth="1"/>
    <col min="14095" max="14096" width="11.42578125" style="1" hidden="1" customWidth="1"/>
    <col min="14097" max="14097" width="10.85546875" style="1" hidden="1" customWidth="1"/>
    <col min="14098" max="14098" width="8.7109375" style="1" hidden="1" customWidth="1"/>
    <col min="14099" max="14099" width="6.28515625" style="1" hidden="1" customWidth="1"/>
    <col min="14100" max="14100" width="4" style="1" hidden="1" customWidth="1"/>
    <col min="14101" max="14101" width="8.7109375" style="1" hidden="1" customWidth="1"/>
    <col min="14102" max="14102" width="13.7109375" style="1" hidden="1" customWidth="1"/>
    <col min="14103" max="14103" width="20.7109375" style="1" hidden="1" customWidth="1"/>
    <col min="14104" max="14104" width="9.42578125" style="1" hidden="1" customWidth="1"/>
    <col min="14105" max="14105" width="3.28515625" style="1" hidden="1" customWidth="1"/>
    <col min="14106" max="14329" width="0" style="1" hidden="1"/>
    <col min="14330" max="14331" width="3.28515625" style="1" hidden="1" customWidth="1"/>
    <col min="14332" max="14332" width="30.7109375" style="1" hidden="1" customWidth="1"/>
    <col min="14333" max="14333" width="2.7109375" style="1" hidden="1" customWidth="1"/>
    <col min="14334" max="14334" width="12.85546875" style="1" hidden="1" customWidth="1"/>
    <col min="14335" max="14336" width="9.5703125" style="1" hidden="1" customWidth="1"/>
    <col min="14337" max="14337" width="7.42578125" style="1" hidden="1" customWidth="1"/>
    <col min="14338" max="14338" width="11.140625" style="1" hidden="1" customWidth="1"/>
    <col min="14339" max="14339" width="11.28515625" style="1" hidden="1" customWidth="1"/>
    <col min="14340" max="14340" width="11.7109375" style="1" hidden="1" customWidth="1"/>
    <col min="14341" max="14341" width="11.28515625" style="1" hidden="1" customWidth="1"/>
    <col min="14342" max="14342" width="10.7109375" style="1" hidden="1" customWidth="1"/>
    <col min="14343" max="14343" width="11.28515625" style="1" hidden="1" customWidth="1"/>
    <col min="14344" max="14344" width="11.42578125" style="1" hidden="1" customWidth="1"/>
    <col min="14345" max="14345" width="10.42578125" style="1" hidden="1" customWidth="1"/>
    <col min="14346" max="14346" width="11.28515625" style="1" hidden="1" customWidth="1"/>
    <col min="14347" max="14347" width="11.42578125" style="1" hidden="1" customWidth="1"/>
    <col min="14348" max="14348" width="10.7109375" style="1" hidden="1" customWidth="1"/>
    <col min="14349" max="14349" width="10.28515625" style="1" hidden="1" customWidth="1"/>
    <col min="14350" max="14350" width="11.5703125" style="1" hidden="1" customWidth="1"/>
    <col min="14351" max="14352" width="11.42578125" style="1" hidden="1" customWidth="1"/>
    <col min="14353" max="14353" width="10.85546875" style="1" hidden="1" customWidth="1"/>
    <col min="14354" max="14354" width="8.7109375" style="1" hidden="1" customWidth="1"/>
    <col min="14355" max="14355" width="6.28515625" style="1" hidden="1" customWidth="1"/>
    <col min="14356" max="14356" width="4" style="1" hidden="1" customWidth="1"/>
    <col min="14357" max="14357" width="8.7109375" style="1" hidden="1" customWidth="1"/>
    <col min="14358" max="14358" width="13.7109375" style="1" hidden="1" customWidth="1"/>
    <col min="14359" max="14359" width="20.7109375" style="1" hidden="1" customWidth="1"/>
    <col min="14360" max="14360" width="9.42578125" style="1" hidden="1" customWidth="1"/>
    <col min="14361" max="14361" width="3.28515625" style="1" hidden="1" customWidth="1"/>
    <col min="14362" max="14585" width="0" style="1" hidden="1"/>
    <col min="14586" max="14587" width="3.28515625" style="1" hidden="1" customWidth="1"/>
    <col min="14588" max="14588" width="30.7109375" style="1" hidden="1" customWidth="1"/>
    <col min="14589" max="14589" width="2.7109375" style="1" hidden="1" customWidth="1"/>
    <col min="14590" max="14590" width="12.85546875" style="1" hidden="1" customWidth="1"/>
    <col min="14591" max="14592" width="9.5703125" style="1" hidden="1" customWidth="1"/>
    <col min="14593" max="14593" width="7.42578125" style="1" hidden="1" customWidth="1"/>
    <col min="14594" max="14594" width="11.140625" style="1" hidden="1" customWidth="1"/>
    <col min="14595" max="14595" width="11.28515625" style="1" hidden="1" customWidth="1"/>
    <col min="14596" max="14596" width="11.7109375" style="1" hidden="1" customWidth="1"/>
    <col min="14597" max="14597" width="11.28515625" style="1" hidden="1" customWidth="1"/>
    <col min="14598" max="14598" width="10.7109375" style="1" hidden="1" customWidth="1"/>
    <col min="14599" max="14599" width="11.28515625" style="1" hidden="1" customWidth="1"/>
    <col min="14600" max="14600" width="11.42578125" style="1" hidden="1" customWidth="1"/>
    <col min="14601" max="14601" width="10.42578125" style="1" hidden="1" customWidth="1"/>
    <col min="14602" max="14602" width="11.28515625" style="1" hidden="1" customWidth="1"/>
    <col min="14603" max="14603" width="11.42578125" style="1" hidden="1" customWidth="1"/>
    <col min="14604" max="14604" width="10.7109375" style="1" hidden="1" customWidth="1"/>
    <col min="14605" max="14605" width="10.28515625" style="1" hidden="1" customWidth="1"/>
    <col min="14606" max="14606" width="11.5703125" style="1" hidden="1" customWidth="1"/>
    <col min="14607" max="14608" width="11.42578125" style="1" hidden="1" customWidth="1"/>
    <col min="14609" max="14609" width="10.85546875" style="1" hidden="1" customWidth="1"/>
    <col min="14610" max="14610" width="8.7109375" style="1" hidden="1" customWidth="1"/>
    <col min="14611" max="14611" width="6.28515625" style="1" hidden="1" customWidth="1"/>
    <col min="14612" max="14612" width="4" style="1" hidden="1" customWidth="1"/>
    <col min="14613" max="14613" width="8.7109375" style="1" hidden="1" customWidth="1"/>
    <col min="14614" max="14614" width="13.7109375" style="1" hidden="1" customWidth="1"/>
    <col min="14615" max="14615" width="20.7109375" style="1" hidden="1" customWidth="1"/>
    <col min="14616" max="14616" width="9.42578125" style="1" hidden="1" customWidth="1"/>
    <col min="14617" max="14617" width="3.28515625" style="1" hidden="1" customWidth="1"/>
    <col min="14618" max="14841" width="0" style="1" hidden="1"/>
    <col min="14842" max="14843" width="3.28515625" style="1" hidden="1" customWidth="1"/>
    <col min="14844" max="14844" width="30.7109375" style="1" hidden="1" customWidth="1"/>
    <col min="14845" max="14845" width="2.7109375" style="1" hidden="1" customWidth="1"/>
    <col min="14846" max="14846" width="12.85546875" style="1" hidden="1" customWidth="1"/>
    <col min="14847" max="14848" width="9.5703125" style="1" hidden="1" customWidth="1"/>
    <col min="14849" max="14849" width="7.42578125" style="1" hidden="1" customWidth="1"/>
    <col min="14850" max="14850" width="11.140625" style="1" hidden="1" customWidth="1"/>
    <col min="14851" max="14851" width="11.28515625" style="1" hidden="1" customWidth="1"/>
    <col min="14852" max="14852" width="11.7109375" style="1" hidden="1" customWidth="1"/>
    <col min="14853" max="14853" width="11.28515625" style="1" hidden="1" customWidth="1"/>
    <col min="14854" max="14854" width="10.7109375" style="1" hidden="1" customWidth="1"/>
    <col min="14855" max="14855" width="11.28515625" style="1" hidden="1" customWidth="1"/>
    <col min="14856" max="14856" width="11.42578125" style="1" hidden="1" customWidth="1"/>
    <col min="14857" max="14857" width="10.42578125" style="1" hidden="1" customWidth="1"/>
    <col min="14858" max="14858" width="11.28515625" style="1" hidden="1" customWidth="1"/>
    <col min="14859" max="14859" width="11.42578125" style="1" hidden="1" customWidth="1"/>
    <col min="14860" max="14860" width="10.7109375" style="1" hidden="1" customWidth="1"/>
    <col min="14861" max="14861" width="10.28515625" style="1" hidden="1" customWidth="1"/>
    <col min="14862" max="14862" width="11.5703125" style="1" hidden="1" customWidth="1"/>
    <col min="14863" max="14864" width="11.42578125" style="1" hidden="1" customWidth="1"/>
    <col min="14865" max="14865" width="10.85546875" style="1" hidden="1" customWidth="1"/>
    <col min="14866" max="14866" width="8.7109375" style="1" hidden="1" customWidth="1"/>
    <col min="14867" max="14867" width="6.28515625" style="1" hidden="1" customWidth="1"/>
    <col min="14868" max="14868" width="4" style="1" hidden="1" customWidth="1"/>
    <col min="14869" max="14869" width="8.7109375" style="1" hidden="1" customWidth="1"/>
    <col min="14870" max="14870" width="13.7109375" style="1" hidden="1" customWidth="1"/>
    <col min="14871" max="14871" width="20.7109375" style="1" hidden="1" customWidth="1"/>
    <col min="14872" max="14872" width="9.42578125" style="1" hidden="1" customWidth="1"/>
    <col min="14873" max="14873" width="3.28515625" style="1" hidden="1" customWidth="1"/>
    <col min="14874" max="15097" width="0" style="1" hidden="1"/>
    <col min="15098" max="15099" width="3.28515625" style="1" hidden="1" customWidth="1"/>
    <col min="15100" max="15100" width="30.7109375" style="1" hidden="1" customWidth="1"/>
    <col min="15101" max="15101" width="2.7109375" style="1" hidden="1" customWidth="1"/>
    <col min="15102" max="15102" width="12.85546875" style="1" hidden="1" customWidth="1"/>
    <col min="15103" max="15104" width="9.5703125" style="1" hidden="1" customWidth="1"/>
    <col min="15105" max="15105" width="7.42578125" style="1" hidden="1" customWidth="1"/>
    <col min="15106" max="15106" width="11.140625" style="1" hidden="1" customWidth="1"/>
    <col min="15107" max="15107" width="11.28515625" style="1" hidden="1" customWidth="1"/>
    <col min="15108" max="15108" width="11.7109375" style="1" hidden="1" customWidth="1"/>
    <col min="15109" max="15109" width="11.28515625" style="1" hidden="1" customWidth="1"/>
    <col min="15110" max="15110" width="10.7109375" style="1" hidden="1" customWidth="1"/>
    <col min="15111" max="15111" width="11.28515625" style="1" hidden="1" customWidth="1"/>
    <col min="15112" max="15112" width="11.42578125" style="1" hidden="1" customWidth="1"/>
    <col min="15113" max="15113" width="10.42578125" style="1" hidden="1" customWidth="1"/>
    <col min="15114" max="15114" width="11.28515625" style="1" hidden="1" customWidth="1"/>
    <col min="15115" max="15115" width="11.42578125" style="1" hidden="1" customWidth="1"/>
    <col min="15116" max="15116" width="10.7109375" style="1" hidden="1" customWidth="1"/>
    <col min="15117" max="15117" width="10.28515625" style="1" hidden="1" customWidth="1"/>
    <col min="15118" max="15118" width="11.5703125" style="1" hidden="1" customWidth="1"/>
    <col min="15119" max="15120" width="11.42578125" style="1" hidden="1" customWidth="1"/>
    <col min="15121" max="15121" width="10.85546875" style="1" hidden="1" customWidth="1"/>
    <col min="15122" max="15122" width="8.7109375" style="1" hidden="1" customWidth="1"/>
    <col min="15123" max="15123" width="6.28515625" style="1" hidden="1" customWidth="1"/>
    <col min="15124" max="15124" width="4" style="1" hidden="1" customWidth="1"/>
    <col min="15125" max="15125" width="8.7109375" style="1" hidden="1" customWidth="1"/>
    <col min="15126" max="15126" width="13.7109375" style="1" hidden="1" customWidth="1"/>
    <col min="15127" max="15127" width="20.7109375" style="1" hidden="1" customWidth="1"/>
    <col min="15128" max="15128" width="9.42578125" style="1" hidden="1" customWidth="1"/>
    <col min="15129" max="15129" width="3.28515625" style="1" hidden="1" customWidth="1"/>
    <col min="15130" max="15353" width="0" style="1" hidden="1"/>
    <col min="15354" max="15355" width="3.28515625" style="1" hidden="1" customWidth="1"/>
    <col min="15356" max="15356" width="30.7109375" style="1" hidden="1" customWidth="1"/>
    <col min="15357" max="15357" width="2.7109375" style="1" hidden="1" customWidth="1"/>
    <col min="15358" max="15358" width="12.85546875" style="1" hidden="1" customWidth="1"/>
    <col min="15359" max="15360" width="9.5703125" style="1" hidden="1" customWidth="1"/>
    <col min="15361" max="15361" width="7.42578125" style="1" hidden="1" customWidth="1"/>
    <col min="15362" max="15362" width="11.140625" style="1" hidden="1" customWidth="1"/>
    <col min="15363" max="15363" width="11.28515625" style="1" hidden="1" customWidth="1"/>
    <col min="15364" max="15364" width="11.7109375" style="1" hidden="1" customWidth="1"/>
    <col min="15365" max="15365" width="11.28515625" style="1" hidden="1" customWidth="1"/>
    <col min="15366" max="15366" width="10.7109375" style="1" hidden="1" customWidth="1"/>
    <col min="15367" max="15367" width="11.28515625" style="1" hidden="1" customWidth="1"/>
    <col min="15368" max="15368" width="11.42578125" style="1" hidden="1" customWidth="1"/>
    <col min="15369" max="15369" width="10.42578125" style="1" hidden="1" customWidth="1"/>
    <col min="15370" max="15370" width="11.28515625" style="1" hidden="1" customWidth="1"/>
    <col min="15371" max="15371" width="11.42578125" style="1" hidden="1" customWidth="1"/>
    <col min="15372" max="15372" width="10.7109375" style="1" hidden="1" customWidth="1"/>
    <col min="15373" max="15373" width="10.28515625" style="1" hidden="1" customWidth="1"/>
    <col min="15374" max="15374" width="11.5703125" style="1" hidden="1" customWidth="1"/>
    <col min="15375" max="15376" width="11.42578125" style="1" hidden="1" customWidth="1"/>
    <col min="15377" max="15377" width="10.85546875" style="1" hidden="1" customWidth="1"/>
    <col min="15378" max="15378" width="8.7109375" style="1" hidden="1" customWidth="1"/>
    <col min="15379" max="15379" width="6.28515625" style="1" hidden="1" customWidth="1"/>
    <col min="15380" max="15380" width="4" style="1" hidden="1" customWidth="1"/>
    <col min="15381" max="15381" width="8.7109375" style="1" hidden="1" customWidth="1"/>
    <col min="15382" max="15382" width="13.7109375" style="1" hidden="1" customWidth="1"/>
    <col min="15383" max="15383" width="20.7109375" style="1" hidden="1" customWidth="1"/>
    <col min="15384" max="15384" width="9.42578125" style="1" hidden="1" customWidth="1"/>
    <col min="15385" max="15385" width="3.28515625" style="1" hidden="1" customWidth="1"/>
    <col min="15386" max="15609" width="0" style="1" hidden="1"/>
    <col min="15610" max="15611" width="3.28515625" style="1" hidden="1" customWidth="1"/>
    <col min="15612" max="15612" width="30.7109375" style="1" hidden="1" customWidth="1"/>
    <col min="15613" max="15613" width="2.7109375" style="1" hidden="1" customWidth="1"/>
    <col min="15614" max="15614" width="12.85546875" style="1" hidden="1" customWidth="1"/>
    <col min="15615" max="15616" width="9.5703125" style="1" hidden="1" customWidth="1"/>
    <col min="15617" max="15617" width="7.42578125" style="1" hidden="1" customWidth="1"/>
    <col min="15618" max="15618" width="11.140625" style="1" hidden="1" customWidth="1"/>
    <col min="15619" max="15619" width="11.28515625" style="1" hidden="1" customWidth="1"/>
    <col min="15620" max="15620" width="11.7109375" style="1" hidden="1" customWidth="1"/>
    <col min="15621" max="15621" width="11.28515625" style="1" hidden="1" customWidth="1"/>
    <col min="15622" max="15622" width="10.7109375" style="1" hidden="1" customWidth="1"/>
    <col min="15623" max="15623" width="11.28515625" style="1" hidden="1" customWidth="1"/>
    <col min="15624" max="15624" width="11.42578125" style="1" hidden="1" customWidth="1"/>
    <col min="15625" max="15625" width="10.42578125" style="1" hidden="1" customWidth="1"/>
    <col min="15626" max="15626" width="11.28515625" style="1" hidden="1" customWidth="1"/>
    <col min="15627" max="15627" width="11.42578125" style="1" hidden="1" customWidth="1"/>
    <col min="15628" max="15628" width="10.7109375" style="1" hidden="1" customWidth="1"/>
    <col min="15629" max="15629" width="10.28515625" style="1" hidden="1" customWidth="1"/>
    <col min="15630" max="15630" width="11.5703125" style="1" hidden="1" customWidth="1"/>
    <col min="15631" max="15632" width="11.42578125" style="1" hidden="1" customWidth="1"/>
    <col min="15633" max="15633" width="10.85546875" style="1" hidden="1" customWidth="1"/>
    <col min="15634" max="15634" width="8.7109375" style="1" hidden="1" customWidth="1"/>
    <col min="15635" max="15635" width="6.28515625" style="1" hidden="1" customWidth="1"/>
    <col min="15636" max="15636" width="4" style="1" hidden="1" customWidth="1"/>
    <col min="15637" max="15637" width="8.7109375" style="1" hidden="1" customWidth="1"/>
    <col min="15638" max="15638" width="13.7109375" style="1" hidden="1" customWidth="1"/>
    <col min="15639" max="15639" width="20.7109375" style="1" hidden="1" customWidth="1"/>
    <col min="15640" max="15640" width="9.42578125" style="1" hidden="1" customWidth="1"/>
    <col min="15641" max="15641" width="3.28515625" style="1" hidden="1" customWidth="1"/>
    <col min="15642" max="15865" width="0" style="1" hidden="1"/>
    <col min="15866" max="15867" width="3.28515625" style="1" hidden="1" customWidth="1"/>
    <col min="15868" max="15868" width="30.7109375" style="1" hidden="1" customWidth="1"/>
    <col min="15869" max="15869" width="2.7109375" style="1" hidden="1" customWidth="1"/>
    <col min="15870" max="15870" width="12.85546875" style="1" hidden="1" customWidth="1"/>
    <col min="15871" max="15872" width="9.5703125" style="1" hidden="1" customWidth="1"/>
    <col min="15873" max="15873" width="7.42578125" style="1" hidden="1" customWidth="1"/>
    <col min="15874" max="15874" width="11.140625" style="1" hidden="1" customWidth="1"/>
    <col min="15875" max="15875" width="11.28515625" style="1" hidden="1" customWidth="1"/>
    <col min="15876" max="15876" width="11.7109375" style="1" hidden="1" customWidth="1"/>
    <col min="15877" max="15877" width="11.28515625" style="1" hidden="1" customWidth="1"/>
    <col min="15878" max="15878" width="10.7109375" style="1" hidden="1" customWidth="1"/>
    <col min="15879" max="15879" width="11.28515625" style="1" hidden="1" customWidth="1"/>
    <col min="15880" max="15880" width="11.42578125" style="1" hidden="1" customWidth="1"/>
    <col min="15881" max="15881" width="10.42578125" style="1" hidden="1" customWidth="1"/>
    <col min="15882" max="15882" width="11.28515625" style="1" hidden="1" customWidth="1"/>
    <col min="15883" max="15883" width="11.42578125" style="1" hidden="1" customWidth="1"/>
    <col min="15884" max="15884" width="10.7109375" style="1" hidden="1" customWidth="1"/>
    <col min="15885" max="15885" width="10.28515625" style="1" hidden="1" customWidth="1"/>
    <col min="15886" max="15886" width="11.5703125" style="1" hidden="1" customWidth="1"/>
    <col min="15887" max="15888" width="11.42578125" style="1" hidden="1" customWidth="1"/>
    <col min="15889" max="15889" width="10.85546875" style="1" hidden="1" customWidth="1"/>
    <col min="15890" max="15890" width="8.7109375" style="1" hidden="1" customWidth="1"/>
    <col min="15891" max="15891" width="6.28515625" style="1" hidden="1" customWidth="1"/>
    <col min="15892" max="15892" width="4" style="1" hidden="1" customWidth="1"/>
    <col min="15893" max="15893" width="8.7109375" style="1" hidden="1" customWidth="1"/>
    <col min="15894" max="15894" width="13.7109375" style="1" hidden="1" customWidth="1"/>
    <col min="15895" max="15895" width="20.7109375" style="1" hidden="1" customWidth="1"/>
    <col min="15896" max="15896" width="9.42578125" style="1" hidden="1" customWidth="1"/>
    <col min="15897" max="15897" width="3.28515625" style="1" hidden="1" customWidth="1"/>
    <col min="15898" max="16121" width="0" style="1" hidden="1"/>
    <col min="16122" max="16123" width="3.28515625" style="1" hidden="1" customWidth="1"/>
    <col min="16124" max="16124" width="30.7109375" style="1" hidden="1" customWidth="1"/>
    <col min="16125" max="16125" width="2.7109375" style="1" hidden="1" customWidth="1"/>
    <col min="16126" max="16126" width="12.85546875" style="1" hidden="1" customWidth="1"/>
    <col min="16127" max="16128" width="9.5703125" style="1" hidden="1" customWidth="1"/>
    <col min="16129" max="16129" width="7.42578125" style="1" hidden="1" customWidth="1"/>
    <col min="16130" max="16130" width="11.140625" style="1" hidden="1" customWidth="1"/>
    <col min="16131" max="16131" width="11.28515625" style="1" hidden="1" customWidth="1"/>
    <col min="16132" max="16132" width="11.7109375" style="1" hidden="1" customWidth="1"/>
    <col min="16133" max="16133" width="11.28515625" style="1" hidden="1" customWidth="1"/>
    <col min="16134" max="16134" width="10.7109375" style="1" hidden="1" customWidth="1"/>
    <col min="16135" max="16135" width="11.28515625" style="1" hidden="1" customWidth="1"/>
    <col min="16136" max="16136" width="11.42578125" style="1" hidden="1" customWidth="1"/>
    <col min="16137" max="16137" width="10.42578125" style="1" hidden="1" customWidth="1"/>
    <col min="16138" max="16138" width="11.28515625" style="1" hidden="1" customWidth="1"/>
    <col min="16139" max="16139" width="11.42578125" style="1" hidden="1" customWidth="1"/>
    <col min="16140" max="16140" width="10.7109375" style="1" hidden="1" customWidth="1"/>
    <col min="16141" max="16141" width="10.28515625" style="1" hidden="1" customWidth="1"/>
    <col min="16142" max="16142" width="11.5703125" style="1" hidden="1" customWidth="1"/>
    <col min="16143" max="16144" width="11.42578125" style="1" hidden="1" customWidth="1"/>
    <col min="16145" max="16145" width="10.85546875" style="1" hidden="1" customWidth="1"/>
    <col min="16146" max="16146" width="8.7109375" style="1" hidden="1" customWidth="1"/>
    <col min="16147" max="16147" width="6.28515625" style="1" hidden="1" customWidth="1"/>
    <col min="16148" max="16148" width="4" style="1" hidden="1" customWidth="1"/>
    <col min="16149" max="16149" width="8.7109375" style="1" hidden="1" customWidth="1"/>
    <col min="16150" max="16150" width="13.7109375" style="1" hidden="1" customWidth="1"/>
    <col min="16151" max="16151" width="20.7109375" style="1" hidden="1" customWidth="1"/>
    <col min="16152" max="16152" width="9.42578125" style="1" hidden="1" customWidth="1"/>
    <col min="16153" max="16153" width="3.28515625" style="1" hidden="1" customWidth="1"/>
    <col min="16154" max="16155" width="3.28515625" style="1" hidden="1"/>
    <col min="16156" max="16384" width="0" style="1" hidden="1"/>
  </cols>
  <sheetData>
    <row r="1" spans="1:25" ht="15.75" customHeight="1">
      <c r="A1" s="5"/>
      <c r="B1" s="5"/>
      <c r="C1" s="163">
        <f ca="1">NOW()</f>
        <v>41295.601211689813</v>
      </c>
      <c r="D1" s="3131"/>
      <c r="E1" s="3131"/>
      <c r="F1" s="3131"/>
      <c r="G1" s="3131"/>
      <c r="H1" s="3131"/>
      <c r="I1" s="3131"/>
      <c r="J1" s="3131"/>
      <c r="K1" s="3131"/>
      <c r="L1" s="3131"/>
      <c r="M1" s="3131"/>
      <c r="N1" s="21" t="s">
        <v>48</v>
      </c>
      <c r="O1" s="22"/>
      <c r="P1" s="6"/>
      <c r="Q1" s="23"/>
      <c r="R1" s="23"/>
      <c r="S1" s="23"/>
      <c r="T1" s="23"/>
      <c r="U1" s="5"/>
      <c r="V1" s="5"/>
      <c r="W1" s="5"/>
      <c r="X1" s="5"/>
      <c r="Y1" s="5"/>
    </row>
    <row r="2" spans="1:25" ht="11.1" customHeight="1">
      <c r="A2" s="5"/>
      <c r="B2" s="5"/>
      <c r="C2" s="87" t="s">
        <v>1907</v>
      </c>
      <c r="D2" s="3131"/>
      <c r="E2" s="3131"/>
      <c r="F2" s="3131"/>
      <c r="G2" s="3131"/>
      <c r="H2" s="3131"/>
      <c r="I2" s="3131"/>
      <c r="J2" s="3131"/>
      <c r="K2" s="3131"/>
      <c r="L2" s="3131"/>
      <c r="M2" s="3131"/>
      <c r="N2" s="24"/>
      <c r="O2" s="14"/>
      <c r="P2" s="15"/>
      <c r="Q2" s="16"/>
      <c r="R2" s="25"/>
      <c r="S2" s="26"/>
      <c r="T2" s="16"/>
      <c r="U2" s="17"/>
      <c r="V2" s="17"/>
      <c r="W2" s="17"/>
      <c r="X2" s="17"/>
      <c r="Y2" s="5"/>
    </row>
    <row r="3" spans="1:25" ht="12" customHeight="1">
      <c r="A3" s="5"/>
      <c r="B3" s="5"/>
      <c r="C3" s="87" t="s">
        <v>49</v>
      </c>
      <c r="D3" s="3131"/>
      <c r="E3" s="3131"/>
      <c r="F3" s="3131"/>
      <c r="G3" s="3131"/>
      <c r="H3" s="3131"/>
      <c r="I3" s="3131"/>
      <c r="J3" s="3131"/>
      <c r="K3" s="3131"/>
      <c r="L3" s="3131"/>
      <c r="M3" s="3131"/>
      <c r="N3" s="180" t="s">
        <v>1130</v>
      </c>
      <c r="O3" s="18"/>
      <c r="P3" s="15"/>
      <c r="Q3" s="18"/>
      <c r="R3" s="18"/>
      <c r="S3" s="27"/>
      <c r="T3" s="18"/>
      <c r="U3" s="17"/>
      <c r="V3" s="17"/>
      <c r="W3" s="17"/>
      <c r="X3" s="17"/>
      <c r="Y3" s="5"/>
    </row>
    <row r="4" spans="1:25" ht="11.1" customHeight="1">
      <c r="A4" s="3132" t="s">
        <v>843</v>
      </c>
      <c r="B4" s="3133"/>
      <c r="C4" s="164" t="s">
        <v>1065</v>
      </c>
      <c r="D4" s="3131"/>
      <c r="E4" s="3131"/>
      <c r="F4" s="3131"/>
      <c r="G4" s="3131"/>
      <c r="H4" s="3131"/>
      <c r="I4" s="3131"/>
      <c r="J4" s="3131"/>
      <c r="K4" s="3131"/>
      <c r="L4" s="3131"/>
      <c r="M4" s="3131"/>
      <c r="N4" s="180" t="s">
        <v>1131</v>
      </c>
      <c r="O4" s="19"/>
      <c r="P4" s="15"/>
      <c r="Q4" s="19"/>
      <c r="R4" s="94" t="s">
        <v>1257</v>
      </c>
      <c r="S4" s="28"/>
      <c r="T4" s="19"/>
      <c r="U4" s="17"/>
      <c r="V4" s="17"/>
      <c r="W4" s="177" t="s">
        <v>1115</v>
      </c>
      <c r="X4" s="17"/>
      <c r="Y4" s="5"/>
    </row>
    <row r="5" spans="1:25" ht="11.1" customHeight="1">
      <c r="A5" s="3133"/>
      <c r="B5" s="3133"/>
      <c r="C5" s="165" t="s">
        <v>1064</v>
      </c>
      <c r="D5" s="3131"/>
      <c r="E5" s="3131"/>
      <c r="F5" s="3131"/>
      <c r="G5" s="3131"/>
      <c r="H5" s="3131"/>
      <c r="I5" s="3131"/>
      <c r="J5" s="3131"/>
      <c r="K5" s="3131"/>
      <c r="L5" s="3131"/>
      <c r="M5" s="3131"/>
      <c r="N5" s="181"/>
      <c r="O5" s="29"/>
      <c r="P5" s="29"/>
      <c r="Q5" s="29"/>
      <c r="R5" s="178" t="s">
        <v>1772</v>
      </c>
      <c r="S5" s="29"/>
      <c r="T5" s="29"/>
      <c r="U5" s="29"/>
      <c r="V5" s="29"/>
      <c r="W5" s="178" t="s">
        <v>1116</v>
      </c>
      <c r="X5" s="29"/>
      <c r="Y5" s="5"/>
    </row>
    <row r="6" spans="1:25" ht="11.1" customHeight="1">
      <c r="A6" s="5"/>
      <c r="B6" s="5"/>
      <c r="C6" s="3024" t="s">
        <v>1913</v>
      </c>
      <c r="D6" s="3131"/>
      <c r="E6" s="3131"/>
      <c r="F6" s="3131"/>
      <c r="G6" s="3131"/>
      <c r="H6" s="3131"/>
      <c r="I6" s="3131"/>
      <c r="J6" s="3131"/>
      <c r="K6" s="3131"/>
      <c r="L6" s="3131"/>
      <c r="M6" s="3131"/>
      <c r="N6" s="30"/>
      <c r="O6" s="31"/>
      <c r="P6" s="32"/>
      <c r="Q6" s="31"/>
      <c r="R6" s="31"/>
      <c r="S6" s="31"/>
      <c r="T6" s="31"/>
      <c r="U6" s="5"/>
      <c r="V6" s="5"/>
      <c r="W6" s="5"/>
      <c r="X6" s="839">
        <f ca="1">NOW()</f>
        <v>41295.601211689813</v>
      </c>
      <c r="Y6" s="5"/>
    </row>
    <row r="7" spans="1:25" ht="11.1" customHeight="1" thickBot="1">
      <c r="A7" s="5"/>
      <c r="B7" s="5"/>
      <c r="C7" s="3025" t="s">
        <v>1914</v>
      </c>
      <c r="D7" s="167"/>
      <c r="E7" s="166"/>
      <c r="F7" s="167"/>
      <c r="G7" s="33"/>
      <c r="H7" s="33"/>
      <c r="I7" s="34"/>
      <c r="J7" s="23"/>
      <c r="K7" s="35"/>
      <c r="L7" s="34"/>
      <c r="M7" s="36"/>
      <c r="N7" s="35"/>
      <c r="O7" s="23"/>
      <c r="P7" s="6"/>
      <c r="Q7" s="23"/>
      <c r="R7" s="23"/>
      <c r="S7" s="23"/>
      <c r="T7" s="23"/>
      <c r="U7" s="5"/>
      <c r="V7" s="5"/>
      <c r="W7" s="5"/>
      <c r="X7" s="5"/>
      <c r="Y7" s="5"/>
    </row>
    <row r="8" spans="1:25" ht="11.1" customHeight="1" thickTop="1">
      <c r="A8" s="5"/>
      <c r="B8" s="37"/>
      <c r="C8" s="38" t="s">
        <v>50</v>
      </c>
      <c r="D8" s="3018"/>
      <c r="E8" s="39" t="s">
        <v>51</v>
      </c>
      <c r="F8" s="40" t="s">
        <v>24</v>
      </c>
      <c r="G8" s="3134" t="s">
        <v>52</v>
      </c>
      <c r="H8" s="3134" t="s">
        <v>53</v>
      </c>
      <c r="I8" s="170" t="s">
        <v>54</v>
      </c>
      <c r="J8" s="170" t="s">
        <v>1006</v>
      </c>
      <c r="K8" s="2676" t="s">
        <v>1886</v>
      </c>
      <c r="L8" s="170" t="s">
        <v>26</v>
      </c>
      <c r="M8" s="3108" t="s">
        <v>55</v>
      </c>
      <c r="N8" s="170" t="s">
        <v>56</v>
      </c>
      <c r="O8" s="170" t="s">
        <v>1075</v>
      </c>
      <c r="P8" s="170" t="s">
        <v>58</v>
      </c>
      <c r="Q8" s="170" t="s">
        <v>1007</v>
      </c>
      <c r="R8" s="3137" t="s">
        <v>59</v>
      </c>
      <c r="S8" s="3138" t="s">
        <v>60</v>
      </c>
      <c r="T8" s="3139"/>
      <c r="U8" s="3126" t="s">
        <v>61</v>
      </c>
      <c r="V8" s="3129" t="s">
        <v>62</v>
      </c>
      <c r="W8" s="3129" t="s">
        <v>63</v>
      </c>
      <c r="X8" s="3123" t="s">
        <v>1752</v>
      </c>
      <c r="Y8" s="41"/>
    </row>
    <row r="9" spans="1:25" ht="11.1" customHeight="1">
      <c r="A9" s="5"/>
      <c r="B9" s="42"/>
      <c r="C9" s="43" t="s">
        <v>64</v>
      </c>
      <c r="D9" s="3115"/>
      <c r="E9" s="44">
        <f>(MIN(E$16:E$444)*8)/E12</f>
        <v>1.7124525511988176E-9</v>
      </c>
      <c r="F9" s="2643" t="s">
        <v>1754</v>
      </c>
      <c r="G9" s="3135"/>
      <c r="H9" s="3135"/>
      <c r="I9" s="3109">
        <f t="shared" ref="I9:Q9" si="0">(MIN(I$16:I$454)*8)/I12</f>
        <v>2.3091098516449895</v>
      </c>
      <c r="J9" s="3109">
        <f t="shared" si="0"/>
        <v>1.6717850110262507</v>
      </c>
      <c r="K9" s="3109">
        <f t="shared" si="0"/>
        <v>0.29179109052282104</v>
      </c>
      <c r="L9" s="3109">
        <f t="shared" si="0"/>
        <v>2.8673122851327264</v>
      </c>
      <c r="M9" s="3109">
        <f t="shared" si="0"/>
        <v>6.4955570768429407</v>
      </c>
      <c r="N9" s="3109">
        <f t="shared" si="0"/>
        <v>7.3418575932392551</v>
      </c>
      <c r="O9" s="3109">
        <f t="shared" si="0"/>
        <v>3.0482503931107359</v>
      </c>
      <c r="P9" s="3109">
        <f t="shared" si="0"/>
        <v>1.2499439104330115</v>
      </c>
      <c r="Q9" s="152">
        <f t="shared" si="0"/>
        <v>1.1984368000000001</v>
      </c>
      <c r="R9" s="3127"/>
      <c r="S9" s="169"/>
      <c r="T9" s="169"/>
      <c r="U9" s="3127"/>
      <c r="V9" s="3127"/>
      <c r="W9" s="3127"/>
      <c r="X9" s="3124"/>
      <c r="Y9" s="41"/>
    </row>
    <row r="10" spans="1:25" ht="11.1" customHeight="1">
      <c r="A10" s="5"/>
      <c r="B10" s="42"/>
      <c r="C10" s="43" t="s">
        <v>65</v>
      </c>
      <c r="D10" s="3115"/>
      <c r="E10" s="45">
        <f>(MIN(E$16:E$415))*100/E12/100</f>
        <v>0.41466209850084185</v>
      </c>
      <c r="F10" s="2643" t="s">
        <v>1753</v>
      </c>
      <c r="G10" s="3135"/>
      <c r="H10" s="3135"/>
      <c r="I10" s="3110">
        <f t="shared" ref="I10:Q10" si="1">(MIN(I$16:I$454))*100/I12/100</f>
        <v>0.28863873145562369</v>
      </c>
      <c r="J10" s="3110">
        <f t="shared" si="1"/>
        <v>0.20897312637828133</v>
      </c>
      <c r="K10" s="3110">
        <f t="shared" si="1"/>
        <v>3.6473886315352623E-2</v>
      </c>
      <c r="L10" s="3110">
        <f t="shared" si="1"/>
        <v>0.3584140356415908</v>
      </c>
      <c r="M10" s="3110">
        <f t="shared" si="1"/>
        <v>0.81194463460536748</v>
      </c>
      <c r="N10" s="3110">
        <f t="shared" si="1"/>
        <v>0.91773219915490689</v>
      </c>
      <c r="O10" s="3110">
        <f t="shared" si="1"/>
        <v>0.38103129913884198</v>
      </c>
      <c r="P10" s="3110">
        <f t="shared" si="1"/>
        <v>0.15624298880412643</v>
      </c>
      <c r="Q10" s="154">
        <f t="shared" si="1"/>
        <v>0.14980460000000001</v>
      </c>
      <c r="R10" s="3127"/>
      <c r="S10" s="153" t="s">
        <v>66</v>
      </c>
      <c r="T10" s="153" t="s">
        <v>67</v>
      </c>
      <c r="U10" s="3127"/>
      <c r="V10" s="3127"/>
      <c r="W10" s="3127"/>
      <c r="X10" s="3124"/>
      <c r="Y10" s="41"/>
    </row>
    <row r="11" spans="1:25" ht="10.5" hidden="1" customHeight="1">
      <c r="A11" s="5"/>
      <c r="B11" s="42"/>
      <c r="C11" s="43"/>
      <c r="D11" s="3115"/>
      <c r="E11" s="45"/>
      <c r="F11" s="2643"/>
      <c r="G11" s="3135"/>
      <c r="H11" s="3135"/>
      <c r="I11" s="3111">
        <f t="shared" ref="I11:Q11" si="2">MIN(I$13:I$438)</f>
        <v>67388279</v>
      </c>
      <c r="J11" s="3111">
        <f t="shared" si="2"/>
        <v>68503761</v>
      </c>
      <c r="K11" s="3111">
        <f t="shared" si="2"/>
        <v>16853394</v>
      </c>
      <c r="L11" s="3111">
        <f t="shared" si="2"/>
        <v>254201733</v>
      </c>
      <c r="M11" s="3111">
        <f t="shared" si="2"/>
        <v>494587185</v>
      </c>
      <c r="N11" s="3111">
        <f t="shared" si="2"/>
        <v>451547882</v>
      </c>
      <c r="O11" s="3111">
        <f t="shared" si="2"/>
        <v>241376639</v>
      </c>
      <c r="P11" s="3111">
        <f t="shared" si="2"/>
        <v>31248839</v>
      </c>
      <c r="Q11" s="853">
        <f t="shared" si="2"/>
        <v>149750763</v>
      </c>
      <c r="R11" s="3127"/>
      <c r="S11" s="153"/>
      <c r="T11" s="153"/>
      <c r="U11" s="3127"/>
      <c r="V11" s="3127"/>
      <c r="W11" s="3127"/>
      <c r="X11" s="3124"/>
      <c r="Y11" s="41"/>
    </row>
    <row r="12" spans="1:25" ht="11.1" customHeight="1">
      <c r="A12" s="5"/>
      <c r="B12" s="3119"/>
      <c r="C12" s="3116" t="s">
        <v>68</v>
      </c>
      <c r="D12" s="3117"/>
      <c r="E12" s="168">
        <f t="shared" ref="E12" si="3">SUM(I12:Q12)</f>
        <v>4671662286</v>
      </c>
      <c r="F12" s="3112">
        <f t="shared" ref="F12" si="4">SUM(I12/I$11,J12/J$11,K12/K$11,L12/L$11,M12/M$11,N12/N$11,O12/O$11,P12/P$11,Q12/Q$11)/9*100</f>
        <v>628.28034357823572</v>
      </c>
      <c r="G12" s="3136"/>
      <c r="H12" s="3136"/>
      <c r="I12" s="3113">
        <v>237816639</v>
      </c>
      <c r="J12" s="3113">
        <v>327811342</v>
      </c>
      <c r="K12" s="3114">
        <v>462067405</v>
      </c>
      <c r="L12" s="3113">
        <v>709240453</v>
      </c>
      <c r="M12" s="3113">
        <v>609139052</v>
      </c>
      <c r="N12" s="3113">
        <v>492103406</v>
      </c>
      <c r="O12" s="3113">
        <v>633482445</v>
      </c>
      <c r="P12" s="3113">
        <v>200001544</v>
      </c>
      <c r="Q12" s="155">
        <v>1000000000</v>
      </c>
      <c r="R12" s="3128"/>
      <c r="S12" s="156" t="s">
        <v>69</v>
      </c>
      <c r="T12" s="156" t="s">
        <v>70</v>
      </c>
      <c r="U12" s="3128"/>
      <c r="V12" s="3130"/>
      <c r="W12" s="3128"/>
      <c r="X12" s="3125"/>
      <c r="Y12" s="46"/>
    </row>
    <row r="13" spans="1:25" ht="12" customHeight="1">
      <c r="A13" s="5"/>
      <c r="B13" s="3118" t="s">
        <v>1820</v>
      </c>
      <c r="C13" s="2641" t="s">
        <v>1237</v>
      </c>
      <c r="D13" s="2718"/>
      <c r="E13" s="2277">
        <f t="shared" ref="E13:E44" si="5">SUM(I13:Q13)</f>
        <v>1934042282</v>
      </c>
      <c r="F13" s="3090">
        <f t="shared" ref="F13:F44" si="6">SUM(I13/I$11,J13/J$11,K13/K$11,L13/L$11,M13/M$11,N13/N$11,O13/O$11,P13/P$11,Q13/Q$11)/9*100</f>
        <v>105.49203094852919</v>
      </c>
      <c r="G13" s="2644">
        <f>383+512+0+937+973+796+254+307+1931</f>
        <v>6093</v>
      </c>
      <c r="H13" s="3107">
        <v>6686</v>
      </c>
      <c r="I13" s="2644">
        <v>69766285</v>
      </c>
      <c r="J13" s="2644">
        <v>69728494</v>
      </c>
      <c r="K13" s="2644">
        <v>17159742</v>
      </c>
      <c r="L13" s="2644">
        <v>271188080</v>
      </c>
      <c r="M13" s="2644">
        <v>572480494</v>
      </c>
      <c r="N13" s="2644">
        <v>478680457</v>
      </c>
      <c r="O13" s="2644">
        <v>273691671</v>
      </c>
      <c r="P13" s="2644">
        <v>31341205</v>
      </c>
      <c r="Q13" s="1604">
        <v>150005854</v>
      </c>
      <c r="R13" s="262" t="s">
        <v>79</v>
      </c>
      <c r="S13" s="273" t="s">
        <v>72</v>
      </c>
      <c r="T13" s="422">
        <v>1</v>
      </c>
      <c r="U13" s="2908">
        <v>40332</v>
      </c>
      <c r="V13" s="416" t="s">
        <v>80</v>
      </c>
      <c r="W13" s="416" t="s">
        <v>1039</v>
      </c>
      <c r="X13" s="840">
        <f t="shared" ref="X13:X44" ca="1" si="7">YEARFRAC(U13,X$6)</f>
        <v>2.6333333333333333</v>
      </c>
      <c r="Y13" s="5"/>
    </row>
    <row r="14" spans="1:25" ht="12" customHeight="1">
      <c r="A14" s="2623">
        <v>2</v>
      </c>
      <c r="B14" s="1335" t="s">
        <v>1820</v>
      </c>
      <c r="C14" s="2427" t="s">
        <v>1236</v>
      </c>
      <c r="D14" s="2642"/>
      <c r="E14" s="2279">
        <f t="shared" si="5"/>
        <v>1936079137</v>
      </c>
      <c r="F14" s="3090">
        <f t="shared" si="6"/>
        <v>105.55917409056003</v>
      </c>
      <c r="G14" s="3106">
        <f>397+620+0+1151+986+810+94+315+1714</f>
        <v>6087</v>
      </c>
      <c r="H14" s="3106"/>
      <c r="I14" s="3106">
        <v>69742201</v>
      </c>
      <c r="J14" s="3106">
        <v>69699715</v>
      </c>
      <c r="K14" s="2644">
        <v>17155148</v>
      </c>
      <c r="L14" s="2644">
        <v>273654378</v>
      </c>
      <c r="M14" s="2644">
        <v>572487405</v>
      </c>
      <c r="N14" s="2644">
        <v>478618389</v>
      </c>
      <c r="O14" s="2644">
        <v>273648831</v>
      </c>
      <c r="P14" s="2644">
        <v>31322307</v>
      </c>
      <c r="Q14" s="2644">
        <v>149750763</v>
      </c>
      <c r="R14" s="2645" t="s">
        <v>79</v>
      </c>
      <c r="S14" s="2646" t="s">
        <v>72</v>
      </c>
      <c r="T14" s="2647">
        <v>4</v>
      </c>
      <c r="U14" s="2648">
        <v>40851</v>
      </c>
      <c r="V14" s="2649" t="s">
        <v>80</v>
      </c>
      <c r="W14" s="2649" t="s">
        <v>1039</v>
      </c>
      <c r="X14" s="2650">
        <f t="shared" ca="1" si="7"/>
        <v>1.2138888888888888</v>
      </c>
      <c r="Y14" s="2623">
        <v>2</v>
      </c>
    </row>
    <row r="15" spans="1:25" ht="12" customHeight="1">
      <c r="A15" s="2623"/>
      <c r="B15" s="2651" t="s">
        <v>47</v>
      </c>
      <c r="C15" s="3020" t="s">
        <v>1225</v>
      </c>
      <c r="D15" s="2652"/>
      <c r="E15" s="2653">
        <f t="shared" si="5"/>
        <v>1932199775</v>
      </c>
      <c r="F15" s="3090">
        <f t="shared" si="6"/>
        <v>109.61371852334349</v>
      </c>
      <c r="G15" s="2654">
        <f>233+289+0+466+986+476+511+163+519</f>
        <v>3643</v>
      </c>
      <c r="H15" s="2655"/>
      <c r="I15" s="2656">
        <v>67388279</v>
      </c>
      <c r="J15" s="2657">
        <v>94679696</v>
      </c>
      <c r="K15" s="2658">
        <v>17163229</v>
      </c>
      <c r="L15" s="2657">
        <v>272327065</v>
      </c>
      <c r="M15" s="2657">
        <v>583775967</v>
      </c>
      <c r="N15" s="2657">
        <v>451547882</v>
      </c>
      <c r="O15" s="2657">
        <v>241376803</v>
      </c>
      <c r="P15" s="2657">
        <v>33614691</v>
      </c>
      <c r="Q15" s="2658">
        <v>170326163</v>
      </c>
      <c r="R15" s="2659" t="s">
        <v>133</v>
      </c>
      <c r="S15" s="2660" t="s">
        <v>72</v>
      </c>
      <c r="T15" s="2661">
        <v>8</v>
      </c>
      <c r="U15" s="2662">
        <v>41025</v>
      </c>
      <c r="V15" s="2663" t="s">
        <v>89</v>
      </c>
      <c r="W15" s="2663" t="s">
        <v>1226</v>
      </c>
      <c r="X15" s="2664">
        <f t="shared" ca="1" si="7"/>
        <v>0.73611111111111116</v>
      </c>
      <c r="Y15" s="2623"/>
    </row>
    <row r="16" spans="1:25" ht="12" customHeight="1">
      <c r="A16" s="2623">
        <v>4</v>
      </c>
      <c r="B16" s="2665" t="s">
        <v>47</v>
      </c>
      <c r="C16" s="2428" t="s">
        <v>101</v>
      </c>
      <c r="D16" s="2666" t="s">
        <v>46</v>
      </c>
      <c r="E16" s="2667">
        <f t="shared" si="5"/>
        <v>1993465496</v>
      </c>
      <c r="F16" s="3090">
        <f t="shared" si="6"/>
        <v>109.92648961509448</v>
      </c>
      <c r="G16" s="2668">
        <f>287+880+0+1062+94+508+203+2057+1888</f>
        <v>6979</v>
      </c>
      <c r="H16" s="1848"/>
      <c r="I16" s="1849">
        <v>73996462</v>
      </c>
      <c r="J16" s="2669">
        <v>82714262</v>
      </c>
      <c r="K16" s="2669">
        <v>17063304</v>
      </c>
      <c r="L16" s="2669">
        <v>281229305</v>
      </c>
      <c r="M16" s="2669">
        <v>576624000</v>
      </c>
      <c r="N16" s="2669">
        <v>483245196</v>
      </c>
      <c r="O16" s="2669">
        <v>297539528</v>
      </c>
      <c r="P16" s="2669">
        <v>31248839</v>
      </c>
      <c r="Q16" s="2669">
        <v>149804600</v>
      </c>
      <c r="R16" s="2670" t="s">
        <v>102</v>
      </c>
      <c r="S16" s="2671" t="s">
        <v>76</v>
      </c>
      <c r="T16" s="2672">
        <v>1</v>
      </c>
      <c r="U16" s="2673">
        <v>39565</v>
      </c>
      <c r="V16" s="2674" t="s">
        <v>100</v>
      </c>
      <c r="W16" s="2674" t="s">
        <v>1198</v>
      </c>
      <c r="X16" s="2675">
        <f t="shared" ca="1" si="7"/>
        <v>4.7333333333333334</v>
      </c>
      <c r="Y16" s="2623">
        <v>4</v>
      </c>
    </row>
    <row r="17" spans="1:25" ht="12" customHeight="1">
      <c r="A17" s="2623"/>
      <c r="B17" s="421" t="s">
        <v>47</v>
      </c>
      <c r="C17" s="827" t="s">
        <v>1800</v>
      </c>
      <c r="D17" s="1846"/>
      <c r="E17" s="2279">
        <f t="shared" si="5"/>
        <v>1980624782</v>
      </c>
      <c r="F17" s="3090">
        <f t="shared" si="6"/>
        <v>110.42450270908847</v>
      </c>
      <c r="G17" s="2314">
        <f>80+132+0+370+196+140+163+62+426</f>
        <v>1569</v>
      </c>
      <c r="H17" s="1844"/>
      <c r="I17" s="1673">
        <v>73790327</v>
      </c>
      <c r="J17" s="1604">
        <v>75621740</v>
      </c>
      <c r="K17" s="1604">
        <v>18069208</v>
      </c>
      <c r="L17" s="1604">
        <v>285838300</v>
      </c>
      <c r="M17" s="1604">
        <v>574059514</v>
      </c>
      <c r="N17" s="1604">
        <v>484204751</v>
      </c>
      <c r="O17" s="1604">
        <v>268775465</v>
      </c>
      <c r="P17" s="1604">
        <v>33915597</v>
      </c>
      <c r="Q17" s="1604">
        <v>166349880</v>
      </c>
      <c r="R17" s="262" t="s">
        <v>914</v>
      </c>
      <c r="S17" s="261" t="s">
        <v>76</v>
      </c>
      <c r="T17" s="415">
        <v>1</v>
      </c>
      <c r="U17" s="1601">
        <v>41198</v>
      </c>
      <c r="V17" s="417" t="s">
        <v>129</v>
      </c>
      <c r="W17" s="417" t="s">
        <v>1196</v>
      </c>
      <c r="X17" s="840">
        <f t="shared" ca="1" si="7"/>
        <v>0.2638888888888889</v>
      </c>
      <c r="Y17" s="2623"/>
    </row>
    <row r="18" spans="1:25" ht="12" customHeight="1">
      <c r="A18" s="2623">
        <v>6</v>
      </c>
      <c r="B18" s="2626" t="s">
        <v>47</v>
      </c>
      <c r="C18" s="2641" t="s">
        <v>98</v>
      </c>
      <c r="D18" s="2640" t="s">
        <v>46</v>
      </c>
      <c r="E18" s="2279">
        <f t="shared" si="5"/>
        <v>1999590639</v>
      </c>
      <c r="F18" s="3090">
        <f t="shared" si="6"/>
        <v>110.43148377772943</v>
      </c>
      <c r="G18" s="2314">
        <f>588+926+0+2808+3284+2388+3046+381+2832</f>
        <v>16253</v>
      </c>
      <c r="H18" s="1845"/>
      <c r="I18" s="1776">
        <v>73950584</v>
      </c>
      <c r="J18" s="1604">
        <v>80445875</v>
      </c>
      <c r="K18" s="1604">
        <v>17192898</v>
      </c>
      <c r="L18" s="1604">
        <v>281131945</v>
      </c>
      <c r="M18" s="1604">
        <v>576916540</v>
      </c>
      <c r="N18" s="1604">
        <v>481203836</v>
      </c>
      <c r="O18" s="1604">
        <v>295487431</v>
      </c>
      <c r="P18" s="1604">
        <v>31361199</v>
      </c>
      <c r="Q18" s="1604">
        <v>161900331</v>
      </c>
      <c r="R18" s="262" t="s">
        <v>99</v>
      </c>
      <c r="S18" s="263" t="s">
        <v>76</v>
      </c>
      <c r="T18" s="415">
        <v>1</v>
      </c>
      <c r="U18" s="2639">
        <v>39447</v>
      </c>
      <c r="V18" s="417" t="s">
        <v>89</v>
      </c>
      <c r="W18" s="417" t="s">
        <v>1199</v>
      </c>
      <c r="X18" s="840">
        <f t="shared" ca="1" si="7"/>
        <v>5.0583333333333336</v>
      </c>
      <c r="Y18" s="2623">
        <v>6</v>
      </c>
    </row>
    <row r="19" spans="1:25" ht="12" customHeight="1">
      <c r="A19" s="2623"/>
      <c r="B19" s="2719" t="s">
        <v>47</v>
      </c>
      <c r="C19" s="3021" t="s">
        <v>1513</v>
      </c>
      <c r="D19" s="2720"/>
      <c r="E19" s="2653">
        <f t="shared" si="5"/>
        <v>1985520368</v>
      </c>
      <c r="F19" s="3090">
        <f t="shared" si="6"/>
        <v>110.61116726146092</v>
      </c>
      <c r="G19" s="2693">
        <f>82+125+0+312+187+140+147+57+430</f>
        <v>1480</v>
      </c>
      <c r="H19" s="2694"/>
      <c r="I19" s="2695">
        <v>73900993</v>
      </c>
      <c r="J19" s="2696">
        <v>75296590</v>
      </c>
      <c r="K19" s="2696">
        <v>18170723</v>
      </c>
      <c r="L19" s="2696">
        <v>292250083</v>
      </c>
      <c r="M19" s="2696">
        <v>574089434</v>
      </c>
      <c r="N19" s="2696">
        <v>483947409</v>
      </c>
      <c r="O19" s="2696">
        <v>269208615</v>
      </c>
      <c r="P19" s="2696">
        <v>33841222</v>
      </c>
      <c r="Q19" s="2696">
        <v>164815299</v>
      </c>
      <c r="R19" s="2697" t="s">
        <v>914</v>
      </c>
      <c r="S19" s="2698" t="s">
        <v>76</v>
      </c>
      <c r="T19" s="2699">
        <v>1</v>
      </c>
      <c r="U19" s="2700">
        <v>41163</v>
      </c>
      <c r="V19" s="2701" t="s">
        <v>129</v>
      </c>
      <c r="W19" s="2701" t="s">
        <v>1196</v>
      </c>
      <c r="X19" s="2702">
        <f t="shared" ca="1" si="7"/>
        <v>0.3611111111111111</v>
      </c>
      <c r="Y19" s="2623"/>
    </row>
    <row r="20" spans="1:25" ht="12" customHeight="1">
      <c r="A20" s="2623">
        <v>8</v>
      </c>
      <c r="B20" s="426" t="s">
        <v>47</v>
      </c>
      <c r="C20" s="1367" t="s">
        <v>1254</v>
      </c>
      <c r="D20" s="2721"/>
      <c r="E20" s="3026">
        <f t="shared" si="5"/>
        <v>1995938641</v>
      </c>
      <c r="F20" s="3090">
        <f t="shared" si="6"/>
        <v>110.71738461401365</v>
      </c>
      <c r="G20" s="2703">
        <f>87+136+0+313+184+147+243+63+435</f>
        <v>1608</v>
      </c>
      <c r="H20" s="2704"/>
      <c r="I20" s="1858">
        <v>73785386</v>
      </c>
      <c r="J20" s="2669">
        <v>75468211</v>
      </c>
      <c r="K20" s="2669">
        <v>17833972</v>
      </c>
      <c r="L20" s="2669">
        <v>295203523</v>
      </c>
      <c r="M20" s="2669">
        <v>577288969</v>
      </c>
      <c r="N20" s="2669">
        <v>484732964</v>
      </c>
      <c r="O20" s="2669">
        <v>274063005</v>
      </c>
      <c r="P20" s="2669">
        <v>33687899</v>
      </c>
      <c r="Q20" s="2705">
        <v>163874712</v>
      </c>
      <c r="R20" s="2670" t="s">
        <v>914</v>
      </c>
      <c r="S20" s="2671" t="s">
        <v>76</v>
      </c>
      <c r="T20" s="2672">
        <v>1</v>
      </c>
      <c r="U20" s="2706">
        <v>41062</v>
      </c>
      <c r="V20" s="2674" t="s">
        <v>129</v>
      </c>
      <c r="W20" s="2674" t="s">
        <v>1196</v>
      </c>
      <c r="X20" s="2675">
        <f t="shared" ca="1" si="7"/>
        <v>0.63611111111111107</v>
      </c>
      <c r="Y20" s="2623">
        <v>8</v>
      </c>
    </row>
    <row r="21" spans="1:25" ht="12" customHeight="1">
      <c r="A21" s="2623"/>
      <c r="B21" s="421" t="s">
        <v>47</v>
      </c>
      <c r="C21" s="272" t="s">
        <v>1224</v>
      </c>
      <c r="D21" s="2717"/>
      <c r="E21" s="2279">
        <f t="shared" si="5"/>
        <v>1937161287</v>
      </c>
      <c r="F21" s="3090">
        <f t="shared" si="6"/>
        <v>110.78282195760141</v>
      </c>
      <c r="G21" s="2678">
        <f>244+211+0+626+1202+606+729+233+688</f>
        <v>4539</v>
      </c>
      <c r="H21" s="1682"/>
      <c r="I21" s="2682">
        <v>68643093</v>
      </c>
      <c r="J21" s="2683">
        <v>96354923</v>
      </c>
      <c r="K21" s="2644">
        <v>17163204</v>
      </c>
      <c r="L21" s="2683">
        <v>272316885</v>
      </c>
      <c r="M21" s="2683">
        <v>583844085</v>
      </c>
      <c r="N21" s="2683">
        <v>451619141</v>
      </c>
      <c r="O21" s="2683">
        <v>241376639</v>
      </c>
      <c r="P21" s="2683">
        <v>35557027</v>
      </c>
      <c r="Q21" s="2644">
        <v>170286290</v>
      </c>
      <c r="R21" s="2684" t="s">
        <v>133</v>
      </c>
      <c r="S21" s="2685" t="s">
        <v>76</v>
      </c>
      <c r="T21" s="2686">
        <v>8</v>
      </c>
      <c r="U21" s="2687">
        <v>40506</v>
      </c>
      <c r="V21" s="2688" t="s">
        <v>89</v>
      </c>
      <c r="W21" s="2688" t="s">
        <v>1227</v>
      </c>
      <c r="X21" s="2650">
        <f t="shared" ca="1" si="7"/>
        <v>2.1583333333333332</v>
      </c>
      <c r="Y21" s="2623"/>
    </row>
    <row r="22" spans="1:25" ht="12" customHeight="1">
      <c r="A22" s="2623">
        <v>10</v>
      </c>
      <c r="B22" s="2626" t="s">
        <v>47</v>
      </c>
      <c r="C22" s="2641" t="s">
        <v>1008</v>
      </c>
      <c r="D22" s="2718"/>
      <c r="E22" s="2279">
        <f t="shared" si="5"/>
        <v>2016334936</v>
      </c>
      <c r="F22" s="3090">
        <f t="shared" si="6"/>
        <v>110.85816839416913</v>
      </c>
      <c r="G22" s="2689">
        <f>1080+1630+0+3692+7286+5587+2072+489+2925</f>
        <v>24761</v>
      </c>
      <c r="H22" s="1845"/>
      <c r="I22" s="2690">
        <v>76024016</v>
      </c>
      <c r="J22" s="2691">
        <v>78129005</v>
      </c>
      <c r="K22" s="2691">
        <v>16853394</v>
      </c>
      <c r="L22" s="2691">
        <v>286315970</v>
      </c>
      <c r="M22" s="2644">
        <v>578148907</v>
      </c>
      <c r="N22" s="2691">
        <v>482860756</v>
      </c>
      <c r="O22" s="2644">
        <v>310132099</v>
      </c>
      <c r="P22" s="2644">
        <v>31770739</v>
      </c>
      <c r="Q22" s="2644">
        <v>156100050</v>
      </c>
      <c r="R22" s="2645" t="s">
        <v>124</v>
      </c>
      <c r="S22" s="2680" t="s">
        <v>76</v>
      </c>
      <c r="T22" s="2681">
        <v>1</v>
      </c>
      <c r="U22" s="2692">
        <v>38764</v>
      </c>
      <c r="V22" s="2649" t="s">
        <v>82</v>
      </c>
      <c r="W22" s="2649" t="s">
        <v>125</v>
      </c>
      <c r="X22" s="2650">
        <f t="shared" ca="1" si="7"/>
        <v>6.9305555555555554</v>
      </c>
      <c r="Y22" s="2623">
        <v>10</v>
      </c>
    </row>
    <row r="23" spans="1:25" ht="12" customHeight="1">
      <c r="A23" s="2623"/>
      <c r="B23" s="2722" t="s">
        <v>47</v>
      </c>
      <c r="C23" s="2723" t="s">
        <v>109</v>
      </c>
      <c r="D23" s="2724" t="s">
        <v>46</v>
      </c>
      <c r="E23" s="2653">
        <f t="shared" si="5"/>
        <v>1999644217</v>
      </c>
      <c r="F23" s="3090">
        <f t="shared" si="6"/>
        <v>110.87645614466916</v>
      </c>
      <c r="G23" s="2907">
        <f>366+506+0+1177+1445+1196+1227+277+1367</f>
        <v>7561</v>
      </c>
      <c r="H23" s="2707"/>
      <c r="I23" s="2708">
        <v>74452780</v>
      </c>
      <c r="J23" s="2709">
        <v>84929652</v>
      </c>
      <c r="K23" s="2709">
        <v>17057140</v>
      </c>
      <c r="L23" s="2709">
        <v>279625872</v>
      </c>
      <c r="M23" s="2709">
        <v>576896613</v>
      </c>
      <c r="N23" s="2709">
        <v>481002025</v>
      </c>
      <c r="O23" s="2709">
        <v>298168869</v>
      </c>
      <c r="P23" s="2709">
        <v>31712627</v>
      </c>
      <c r="Q23" s="2709">
        <v>155798639</v>
      </c>
      <c r="R23" s="2710" t="s">
        <v>110</v>
      </c>
      <c r="S23" s="2711" t="s">
        <v>76</v>
      </c>
      <c r="T23" s="2712">
        <v>1</v>
      </c>
      <c r="U23" s="2713">
        <v>39356</v>
      </c>
      <c r="V23" s="2714" t="s">
        <v>100</v>
      </c>
      <c r="W23" s="2714" t="s">
        <v>1197</v>
      </c>
      <c r="X23" s="2715">
        <f t="shared" ca="1" si="7"/>
        <v>5.3055555555555554</v>
      </c>
      <c r="Y23" s="2623"/>
    </row>
    <row r="24" spans="1:25" ht="12" customHeight="1">
      <c r="A24" s="2623">
        <v>12</v>
      </c>
      <c r="B24" s="1334" t="s">
        <v>1820</v>
      </c>
      <c r="C24" s="1367" t="s">
        <v>1062</v>
      </c>
      <c r="D24" s="2725" t="s">
        <v>46</v>
      </c>
      <c r="E24" s="3026">
        <f t="shared" si="5"/>
        <v>1993368021</v>
      </c>
      <c r="F24" s="3090">
        <f t="shared" si="6"/>
        <v>111.19195014540846</v>
      </c>
      <c r="G24" s="2703">
        <f>188+96+0+367+422+370+184+601+825</f>
        <v>3053</v>
      </c>
      <c r="H24" s="1848"/>
      <c r="I24" s="1858">
        <v>74218214</v>
      </c>
      <c r="J24" s="2669">
        <v>68503761</v>
      </c>
      <c r="K24" s="2669">
        <v>17661315</v>
      </c>
      <c r="L24" s="2669">
        <v>266591626</v>
      </c>
      <c r="M24" s="2669">
        <v>578758926</v>
      </c>
      <c r="N24" s="2669">
        <v>463596251</v>
      </c>
      <c r="O24" s="2669">
        <v>303457998</v>
      </c>
      <c r="P24" s="2669">
        <v>34837282</v>
      </c>
      <c r="Q24" s="2669">
        <v>185742648</v>
      </c>
      <c r="R24" s="2670" t="s">
        <v>81</v>
      </c>
      <c r="S24" s="2671" t="s">
        <v>76</v>
      </c>
      <c r="T24" s="2672">
        <v>1</v>
      </c>
      <c r="U24" s="2706">
        <v>40944</v>
      </c>
      <c r="V24" s="2674" t="s">
        <v>82</v>
      </c>
      <c r="W24" s="2674" t="s">
        <v>925</v>
      </c>
      <c r="X24" s="2675">
        <f t="shared" ca="1" si="7"/>
        <v>0.96111111111111114</v>
      </c>
      <c r="Y24" s="2623">
        <v>12</v>
      </c>
    </row>
    <row r="25" spans="1:25" ht="12" customHeight="1">
      <c r="A25" s="2623"/>
      <c r="B25" s="2910" t="s">
        <v>47</v>
      </c>
      <c r="C25" s="2726" t="s">
        <v>1243</v>
      </c>
      <c r="D25" s="2727"/>
      <c r="E25" s="2653">
        <f t="shared" si="5"/>
        <v>2000899734</v>
      </c>
      <c r="F25" s="3090">
        <f t="shared" si="6"/>
        <v>111.19609930091985</v>
      </c>
      <c r="G25" s="2678">
        <f>83+133+0+316+172+136+228+59+433</f>
        <v>1560</v>
      </c>
      <c r="H25" s="1680"/>
      <c r="I25" s="2690">
        <v>73919579</v>
      </c>
      <c r="J25" s="2691">
        <v>76787070</v>
      </c>
      <c r="K25" s="2691">
        <v>17807506</v>
      </c>
      <c r="L25" s="2644">
        <v>296475191</v>
      </c>
      <c r="M25" s="2644">
        <v>577445412</v>
      </c>
      <c r="N25" s="2644">
        <v>484983938</v>
      </c>
      <c r="O25" s="2644">
        <v>274060854</v>
      </c>
      <c r="P25" s="2644">
        <v>33890903</v>
      </c>
      <c r="Q25" s="2679">
        <v>165529281</v>
      </c>
      <c r="R25" s="2645" t="s">
        <v>914</v>
      </c>
      <c r="S25" s="2680" t="s">
        <v>76</v>
      </c>
      <c r="T25" s="2681">
        <v>1</v>
      </c>
      <c r="U25" s="2648">
        <v>41045</v>
      </c>
      <c r="V25" s="2649" t="s">
        <v>129</v>
      </c>
      <c r="W25" s="2649" t="s">
        <v>1196</v>
      </c>
      <c r="X25" s="2650">
        <f t="shared" ca="1" si="7"/>
        <v>0.68055555555555558</v>
      </c>
      <c r="Y25" s="2623"/>
    </row>
    <row r="26" spans="1:25" ht="12" customHeight="1">
      <c r="A26" s="2623">
        <v>14</v>
      </c>
      <c r="B26" s="426" t="s">
        <v>47</v>
      </c>
      <c r="C26" s="1367" t="s">
        <v>1127</v>
      </c>
      <c r="D26" s="1847"/>
      <c r="E26" s="3026">
        <f t="shared" si="5"/>
        <v>2013910975</v>
      </c>
      <c r="F26" s="3090">
        <f t="shared" si="6"/>
        <v>111.46026875872796</v>
      </c>
      <c r="G26" s="2314">
        <f>154+182+0+597+191+318+617+76+572</f>
        <v>2707</v>
      </c>
      <c r="H26" s="1684"/>
      <c r="I26" s="1603">
        <v>73391179</v>
      </c>
      <c r="J26" s="1674">
        <v>75651219</v>
      </c>
      <c r="K26" s="1674">
        <v>17795747</v>
      </c>
      <c r="L26" s="1674">
        <v>289988752</v>
      </c>
      <c r="M26" s="1674">
        <v>577357985</v>
      </c>
      <c r="N26" s="1674">
        <v>484587592</v>
      </c>
      <c r="O26" s="1604">
        <v>296963387</v>
      </c>
      <c r="P26" s="1674">
        <v>33452482</v>
      </c>
      <c r="Q26" s="1674">
        <v>164722632</v>
      </c>
      <c r="R26" s="265" t="s">
        <v>914</v>
      </c>
      <c r="S26" s="264" t="s">
        <v>76</v>
      </c>
      <c r="T26" s="419">
        <v>1</v>
      </c>
      <c r="U26" s="1606">
        <v>41003</v>
      </c>
      <c r="V26" s="420" t="s">
        <v>129</v>
      </c>
      <c r="W26" s="420" t="s">
        <v>1195</v>
      </c>
      <c r="X26" s="841">
        <f t="shared" ca="1" si="7"/>
        <v>0.79722222222222228</v>
      </c>
      <c r="Y26" s="2623">
        <v>14</v>
      </c>
    </row>
    <row r="27" spans="1:25" ht="12" customHeight="1">
      <c r="A27" s="48"/>
      <c r="B27" s="1335" t="s">
        <v>1820</v>
      </c>
      <c r="C27" s="2427" t="s">
        <v>1060</v>
      </c>
      <c r="D27" s="2912"/>
      <c r="E27" s="2279">
        <f t="shared" si="5"/>
        <v>1992618977</v>
      </c>
      <c r="F27" s="3090">
        <f t="shared" si="6"/>
        <v>111.76777674471106</v>
      </c>
      <c r="G27" s="2317">
        <f>556+463+0+1137+1401+1123+981+295+1238</f>
        <v>7194</v>
      </c>
      <c r="H27" s="1688"/>
      <c r="I27" s="1690">
        <v>73715296</v>
      </c>
      <c r="J27" s="1689">
        <v>76614559</v>
      </c>
      <c r="K27" s="1689">
        <v>17903158</v>
      </c>
      <c r="L27" s="1689">
        <v>286131614</v>
      </c>
      <c r="M27" s="1689">
        <v>573646514</v>
      </c>
      <c r="N27" s="1689">
        <v>481541757</v>
      </c>
      <c r="O27" s="1689">
        <v>266877734</v>
      </c>
      <c r="P27" s="1689">
        <v>34882268</v>
      </c>
      <c r="Q27" s="1689">
        <v>181306077</v>
      </c>
      <c r="R27" s="275" t="s">
        <v>71</v>
      </c>
      <c r="S27" s="261" t="s">
        <v>76</v>
      </c>
      <c r="T27" s="580">
        <v>4</v>
      </c>
      <c r="U27" s="1601">
        <v>38777</v>
      </c>
      <c r="V27" s="417" t="s">
        <v>73</v>
      </c>
      <c r="W27" s="417" t="s">
        <v>83</v>
      </c>
      <c r="X27" s="840">
        <f t="shared" ca="1" si="7"/>
        <v>6.8888888888888893</v>
      </c>
      <c r="Y27" s="48"/>
    </row>
    <row r="28" spans="1:25" ht="12" customHeight="1">
      <c r="A28" s="48">
        <v>16</v>
      </c>
      <c r="B28" s="1334" t="s">
        <v>1820</v>
      </c>
      <c r="C28" s="1367" t="s">
        <v>1238</v>
      </c>
      <c r="D28" s="2913"/>
      <c r="E28" s="2278">
        <f t="shared" si="5"/>
        <v>2006240330</v>
      </c>
      <c r="F28" s="3090">
        <f t="shared" si="6"/>
        <v>111.88894212980973</v>
      </c>
      <c r="G28" s="2909">
        <f>143+214+0+264+689+611+177+126+180</f>
        <v>2404</v>
      </c>
      <c r="H28" s="1686"/>
      <c r="I28" s="1678">
        <v>73541225</v>
      </c>
      <c r="J28" s="1679">
        <v>77341688</v>
      </c>
      <c r="K28" s="1679">
        <v>17208763</v>
      </c>
      <c r="L28" s="1679">
        <v>299717403</v>
      </c>
      <c r="M28" s="1679">
        <v>572126562</v>
      </c>
      <c r="N28" s="1679">
        <v>482913027</v>
      </c>
      <c r="O28" s="1679">
        <v>276707993</v>
      </c>
      <c r="P28" s="1679">
        <v>35411866</v>
      </c>
      <c r="Q28" s="1679">
        <v>171271803</v>
      </c>
      <c r="R28" s="179" t="s">
        <v>79</v>
      </c>
      <c r="S28" s="2916" t="s">
        <v>72</v>
      </c>
      <c r="T28" s="2918">
        <v>4</v>
      </c>
      <c r="U28" s="1602">
        <v>40332</v>
      </c>
      <c r="V28" s="423" t="s">
        <v>80</v>
      </c>
      <c r="W28" s="423" t="s">
        <v>1040</v>
      </c>
      <c r="X28" s="841">
        <f t="shared" ca="1" si="7"/>
        <v>2.6333333333333333</v>
      </c>
      <c r="Y28" s="48">
        <v>16</v>
      </c>
    </row>
    <row r="29" spans="1:25" ht="12" customHeight="1">
      <c r="A29" s="48"/>
      <c r="B29" s="421" t="s">
        <v>47</v>
      </c>
      <c r="C29" s="47" t="s">
        <v>1214</v>
      </c>
      <c r="D29" s="425"/>
      <c r="E29" s="2279">
        <f t="shared" si="5"/>
        <v>2019573980</v>
      </c>
      <c r="F29" s="3090">
        <f t="shared" si="6"/>
        <v>112.13855568395074</v>
      </c>
      <c r="G29" s="2314">
        <f>94+340+0+369+281+129+64+491+360</f>
        <v>2128</v>
      </c>
      <c r="H29" s="1684"/>
      <c r="I29" s="1681">
        <v>74844374</v>
      </c>
      <c r="J29" s="1604">
        <v>78398914</v>
      </c>
      <c r="K29" s="1604">
        <v>17782554</v>
      </c>
      <c r="L29" s="1604">
        <v>289869520</v>
      </c>
      <c r="M29" s="1604">
        <v>577257692</v>
      </c>
      <c r="N29" s="1604">
        <v>484047738</v>
      </c>
      <c r="O29" s="1604">
        <v>296562177</v>
      </c>
      <c r="P29" s="1604">
        <v>32902859</v>
      </c>
      <c r="Q29" s="1604">
        <v>167908152</v>
      </c>
      <c r="R29" s="262" t="s">
        <v>807</v>
      </c>
      <c r="S29" s="263" t="s">
        <v>76</v>
      </c>
      <c r="T29" s="415">
        <v>1</v>
      </c>
      <c r="U29" s="1601">
        <v>39562</v>
      </c>
      <c r="V29" s="417" t="s">
        <v>84</v>
      </c>
      <c r="W29" s="417" t="s">
        <v>1197</v>
      </c>
      <c r="X29" s="840">
        <f t="shared" ca="1" si="7"/>
        <v>4.7416666666666663</v>
      </c>
      <c r="Y29" s="48"/>
    </row>
    <row r="30" spans="1:25" ht="12" customHeight="1">
      <c r="A30" s="48">
        <v>18</v>
      </c>
      <c r="B30" s="1336" t="s">
        <v>1820</v>
      </c>
      <c r="C30" s="272" t="s">
        <v>1240</v>
      </c>
      <c r="D30" s="428"/>
      <c r="E30" s="2277">
        <f t="shared" si="5"/>
        <v>2011401965</v>
      </c>
      <c r="F30" s="3090">
        <f t="shared" si="6"/>
        <v>112.14155539374555</v>
      </c>
      <c r="G30" s="2314">
        <f>142+214+0+330+671+402+55+130+175</f>
        <v>2119</v>
      </c>
      <c r="H30" s="1684"/>
      <c r="I30" s="2677">
        <v>73560438</v>
      </c>
      <c r="J30" s="1604">
        <v>77381582</v>
      </c>
      <c r="K30" s="1604">
        <v>17230797</v>
      </c>
      <c r="L30" s="1604">
        <v>302571804</v>
      </c>
      <c r="M30" s="1604">
        <v>572140376</v>
      </c>
      <c r="N30" s="1604">
        <v>484239829</v>
      </c>
      <c r="O30" s="1604">
        <v>276707145</v>
      </c>
      <c r="P30" s="1604">
        <v>35429637</v>
      </c>
      <c r="Q30" s="1604">
        <v>172140357</v>
      </c>
      <c r="R30" s="262" t="s">
        <v>79</v>
      </c>
      <c r="S30" s="273" t="s">
        <v>72</v>
      </c>
      <c r="T30" s="870">
        <v>4</v>
      </c>
      <c r="U30" s="1601">
        <v>40851</v>
      </c>
      <c r="V30" s="417" t="s">
        <v>80</v>
      </c>
      <c r="W30" s="417" t="s">
        <v>1040</v>
      </c>
      <c r="X30" s="841">
        <f t="shared" ca="1" si="7"/>
        <v>1.2138888888888888</v>
      </c>
      <c r="Y30" s="48">
        <v>18</v>
      </c>
    </row>
    <row r="31" spans="1:25" ht="12" customHeight="1">
      <c r="A31" s="48"/>
      <c r="B31" s="2988" t="s">
        <v>47</v>
      </c>
      <c r="C31" s="901" t="s">
        <v>117</v>
      </c>
      <c r="D31" s="427" t="s">
        <v>46</v>
      </c>
      <c r="E31" s="3027">
        <f t="shared" si="5"/>
        <v>2018529771</v>
      </c>
      <c r="F31" s="3090">
        <f t="shared" si="6"/>
        <v>112.19985097473939</v>
      </c>
      <c r="G31" s="2317">
        <f>400+549+0+1230+1589+1225+1201+292+1484</f>
        <v>7970</v>
      </c>
      <c r="H31" s="1688"/>
      <c r="I31" s="1690">
        <v>74831599</v>
      </c>
      <c r="J31" s="1689">
        <v>85642641</v>
      </c>
      <c r="K31" s="1689">
        <v>17229230</v>
      </c>
      <c r="L31" s="1689">
        <v>282263957</v>
      </c>
      <c r="M31" s="1689">
        <v>576732765</v>
      </c>
      <c r="N31" s="1689">
        <v>481439256</v>
      </c>
      <c r="O31" s="1689">
        <v>307884467</v>
      </c>
      <c r="P31" s="1689">
        <v>32038281</v>
      </c>
      <c r="Q31" s="1689">
        <v>160467575</v>
      </c>
      <c r="R31" s="2991" t="s">
        <v>118</v>
      </c>
      <c r="S31" s="269" t="s">
        <v>76</v>
      </c>
      <c r="T31" s="2993">
        <v>1</v>
      </c>
      <c r="U31" s="1607">
        <v>39287</v>
      </c>
      <c r="V31" s="424" t="s">
        <v>89</v>
      </c>
      <c r="W31" s="424" t="s">
        <v>1195</v>
      </c>
      <c r="X31" s="840">
        <f t="shared" ca="1" si="7"/>
        <v>5.4916666666666663</v>
      </c>
      <c r="Y31" s="48"/>
    </row>
    <row r="32" spans="1:25" ht="12" customHeight="1">
      <c r="A32" s="48">
        <v>20</v>
      </c>
      <c r="B32" s="418" t="s">
        <v>47</v>
      </c>
      <c r="C32" s="268" t="s">
        <v>1514</v>
      </c>
      <c r="D32" s="428"/>
      <c r="E32" s="2279">
        <f t="shared" si="5"/>
        <v>2002588737</v>
      </c>
      <c r="F32" s="3090">
        <f t="shared" si="6"/>
        <v>112.77735786078318</v>
      </c>
      <c r="G32" s="2314">
        <f>50+113+0+217+101+87+98+92+279</f>
        <v>1037</v>
      </c>
      <c r="H32" s="1682"/>
      <c r="I32" s="1603">
        <v>76701351</v>
      </c>
      <c r="J32" s="1604">
        <v>79432435</v>
      </c>
      <c r="K32" s="1604">
        <v>18152006</v>
      </c>
      <c r="L32" s="1604">
        <v>295063640</v>
      </c>
      <c r="M32" s="1604">
        <v>575367097</v>
      </c>
      <c r="N32" s="1604">
        <v>484242539</v>
      </c>
      <c r="O32" s="1604">
        <v>269308692</v>
      </c>
      <c r="P32" s="1604">
        <v>35483677</v>
      </c>
      <c r="Q32" s="1604">
        <v>168837300</v>
      </c>
      <c r="R32" s="2992" t="s">
        <v>914</v>
      </c>
      <c r="S32" s="263" t="s">
        <v>76</v>
      </c>
      <c r="T32" s="870">
        <v>2</v>
      </c>
      <c r="U32" s="1601">
        <v>41163</v>
      </c>
      <c r="V32" s="417" t="s">
        <v>129</v>
      </c>
      <c r="W32" s="417" t="s">
        <v>1196</v>
      </c>
      <c r="X32" s="841">
        <f t="shared" ca="1" si="7"/>
        <v>0.3611111111111111</v>
      </c>
      <c r="Y32" s="48">
        <v>20</v>
      </c>
    </row>
    <row r="33" spans="1:25" ht="12" customHeight="1">
      <c r="A33" s="48"/>
      <c r="B33" s="2989" t="s">
        <v>1820</v>
      </c>
      <c r="C33" s="272" t="s">
        <v>1908</v>
      </c>
      <c r="D33" s="425"/>
      <c r="E33" s="3027">
        <f t="shared" si="5"/>
        <v>2015178753</v>
      </c>
      <c r="F33" s="3090">
        <f t="shared" si="6"/>
        <v>113.05659606115972</v>
      </c>
      <c r="G33" s="2317">
        <f>327+413+0+980+1670+1008+828+152+1000</f>
        <v>6378</v>
      </c>
      <c r="H33" s="1688"/>
      <c r="I33" s="1690">
        <v>75531695</v>
      </c>
      <c r="J33" s="1689">
        <v>79404688</v>
      </c>
      <c r="K33" s="1689">
        <v>17825439</v>
      </c>
      <c r="L33" s="1689">
        <v>286859957</v>
      </c>
      <c r="M33" s="1689">
        <v>586211755</v>
      </c>
      <c r="N33" s="1689">
        <v>484970039</v>
      </c>
      <c r="O33" s="1689">
        <v>266988020</v>
      </c>
      <c r="P33" s="1689">
        <v>35221720</v>
      </c>
      <c r="Q33" s="1689">
        <v>182165440</v>
      </c>
      <c r="R33" s="2915" t="s">
        <v>71</v>
      </c>
      <c r="S33" s="2917" t="s">
        <v>72</v>
      </c>
      <c r="T33" s="2919">
        <v>4</v>
      </c>
      <c r="U33" s="1607">
        <v>40944</v>
      </c>
      <c r="V33" s="424" t="s">
        <v>73</v>
      </c>
      <c r="W33" s="424" t="s">
        <v>83</v>
      </c>
      <c r="X33" s="840">
        <f t="shared" ca="1" si="7"/>
        <v>0.96111111111111114</v>
      </c>
      <c r="Y33" s="48"/>
    </row>
    <row r="34" spans="1:25" ht="12" customHeight="1">
      <c r="A34" s="48">
        <v>22</v>
      </c>
      <c r="B34" s="421" t="s">
        <v>47</v>
      </c>
      <c r="C34" s="272" t="s">
        <v>121</v>
      </c>
      <c r="D34" s="2728"/>
      <c r="E34" s="2279">
        <f t="shared" si="5"/>
        <v>2028227057</v>
      </c>
      <c r="F34" s="3090">
        <f t="shared" si="6"/>
        <v>113.26954290414821</v>
      </c>
      <c r="G34" s="2731">
        <f>236+324+0+735+998+822+821+182+891</f>
        <v>5009</v>
      </c>
      <c r="H34" s="1682"/>
      <c r="I34" s="2729">
        <v>75127184</v>
      </c>
      <c r="J34" s="2644">
        <v>84693417</v>
      </c>
      <c r="K34" s="2644">
        <v>17883104</v>
      </c>
      <c r="L34" s="2644">
        <v>286488733</v>
      </c>
      <c r="M34" s="2644">
        <v>578377375</v>
      </c>
      <c r="N34" s="2644">
        <v>483460117</v>
      </c>
      <c r="O34" s="2644">
        <v>301617361</v>
      </c>
      <c r="P34" s="2644">
        <v>32613744</v>
      </c>
      <c r="Q34" s="2644">
        <v>167966022</v>
      </c>
      <c r="R34" s="2645" t="s">
        <v>122</v>
      </c>
      <c r="S34" s="2680" t="s">
        <v>76</v>
      </c>
      <c r="T34" s="2681">
        <v>1</v>
      </c>
      <c r="U34" s="2648">
        <v>39603</v>
      </c>
      <c r="V34" s="2649" t="s">
        <v>84</v>
      </c>
      <c r="W34" s="2649" t="s">
        <v>1195</v>
      </c>
      <c r="X34" s="2650">
        <f t="shared" ca="1" si="7"/>
        <v>4.6305555555555555</v>
      </c>
      <c r="Y34" s="48">
        <v>22</v>
      </c>
    </row>
    <row r="35" spans="1:25" ht="12" customHeight="1">
      <c r="A35" s="48"/>
      <c r="B35" s="2739" t="s">
        <v>47</v>
      </c>
      <c r="C35" s="2740" t="s">
        <v>123</v>
      </c>
      <c r="D35" s="2741"/>
      <c r="E35" s="2653">
        <f t="shared" si="5"/>
        <v>2031459098</v>
      </c>
      <c r="F35" s="3090">
        <f t="shared" si="6"/>
        <v>113.49795329702721</v>
      </c>
      <c r="G35" s="2744"/>
      <c r="H35" s="2745"/>
      <c r="I35" s="2746">
        <v>75263039</v>
      </c>
      <c r="J35" s="2747">
        <v>85027167</v>
      </c>
      <c r="K35" s="2747">
        <v>17880986</v>
      </c>
      <c r="L35" s="2747">
        <v>286844799</v>
      </c>
      <c r="M35" s="2747">
        <v>578448381</v>
      </c>
      <c r="N35" s="2747">
        <v>483475436</v>
      </c>
      <c r="O35" s="2747">
        <v>303326975</v>
      </c>
      <c r="P35" s="2747">
        <v>32654938</v>
      </c>
      <c r="Q35" s="2747">
        <v>168537377</v>
      </c>
      <c r="R35" s="2748" t="s">
        <v>122</v>
      </c>
      <c r="S35" s="2749" t="s">
        <v>76</v>
      </c>
      <c r="T35" s="2750">
        <v>1</v>
      </c>
      <c r="U35" s="2751">
        <v>39603</v>
      </c>
      <c r="V35" s="2752" t="s">
        <v>84</v>
      </c>
      <c r="W35" s="2752" t="s">
        <v>1195</v>
      </c>
      <c r="X35" s="2753">
        <f t="shared" ca="1" si="7"/>
        <v>4.6305555555555555</v>
      </c>
      <c r="Y35" s="48"/>
    </row>
    <row r="36" spans="1:25" ht="12" customHeight="1">
      <c r="A36" s="48">
        <v>24</v>
      </c>
      <c r="B36" s="2742" t="s">
        <v>47</v>
      </c>
      <c r="C36" s="2743" t="s">
        <v>1229</v>
      </c>
      <c r="D36" s="2454"/>
      <c r="E36" s="3026">
        <f t="shared" si="5"/>
        <v>2037085946</v>
      </c>
      <c r="F36" s="3090">
        <f t="shared" si="6"/>
        <v>113.55418775616106</v>
      </c>
      <c r="G36" s="2754">
        <f>88+116+0+291+347+285+343+60+345</f>
        <v>1875</v>
      </c>
      <c r="H36" s="2704"/>
      <c r="I36" s="2755">
        <v>75235951</v>
      </c>
      <c r="J36" s="2756">
        <v>79165323</v>
      </c>
      <c r="K36" s="2756">
        <v>17833236</v>
      </c>
      <c r="L36" s="2756">
        <v>295130985</v>
      </c>
      <c r="M36" s="2756">
        <v>577169184</v>
      </c>
      <c r="N36" s="2756">
        <v>484052172</v>
      </c>
      <c r="O36" s="2704">
        <v>297070812</v>
      </c>
      <c r="P36" s="2756">
        <v>33450390</v>
      </c>
      <c r="Q36" s="2757">
        <v>177977893</v>
      </c>
      <c r="R36" s="2758" t="s">
        <v>1230</v>
      </c>
      <c r="S36" s="2759" t="s">
        <v>76</v>
      </c>
      <c r="T36" s="2760">
        <v>1</v>
      </c>
      <c r="U36" s="2761">
        <v>39562</v>
      </c>
      <c r="V36" s="2762" t="s">
        <v>84</v>
      </c>
      <c r="W36" s="2762" t="s">
        <v>1197</v>
      </c>
      <c r="X36" s="2675">
        <f t="shared" ca="1" si="7"/>
        <v>4.7416666666666663</v>
      </c>
      <c r="Y36" s="48">
        <v>24</v>
      </c>
    </row>
    <row r="37" spans="1:25" ht="12" customHeight="1">
      <c r="A37" s="48"/>
      <c r="B37" s="2921" t="s">
        <v>47</v>
      </c>
      <c r="C37" s="2922" t="s">
        <v>114</v>
      </c>
      <c r="D37" s="2741"/>
      <c r="E37" s="2653">
        <f t="shared" si="5"/>
        <v>2032347765</v>
      </c>
      <c r="F37" s="3090">
        <f t="shared" si="6"/>
        <v>113.66128748573432</v>
      </c>
      <c r="G37" s="2920">
        <f>275+393+0+877+919+755+836+220+1215</f>
        <v>5490</v>
      </c>
      <c r="H37" s="2745"/>
      <c r="I37" s="2965">
        <v>75248695</v>
      </c>
      <c r="J37" s="2763">
        <v>85276158</v>
      </c>
      <c r="K37" s="2763">
        <v>17881560</v>
      </c>
      <c r="L37" s="2763">
        <v>287061074</v>
      </c>
      <c r="M37" s="2763">
        <v>578113802</v>
      </c>
      <c r="N37" s="2763">
        <v>483390665</v>
      </c>
      <c r="O37" s="2763">
        <v>303742288</v>
      </c>
      <c r="P37" s="2763">
        <v>32915199</v>
      </c>
      <c r="Q37" s="2763">
        <v>168718324</v>
      </c>
      <c r="R37" s="2764" t="s">
        <v>115</v>
      </c>
      <c r="S37" s="2765" t="s">
        <v>76</v>
      </c>
      <c r="T37" s="2766">
        <v>1</v>
      </c>
      <c r="U37" s="2936">
        <v>39817</v>
      </c>
      <c r="V37" s="2767" t="s">
        <v>116</v>
      </c>
      <c r="W37" s="2767" t="s">
        <v>1195</v>
      </c>
      <c r="X37" s="2768">
        <f t="shared" ca="1" si="7"/>
        <v>4.0472222222222225</v>
      </c>
      <c r="Y37" s="48"/>
    </row>
    <row r="38" spans="1:25" ht="12" customHeight="1">
      <c r="A38" s="48">
        <v>26</v>
      </c>
      <c r="B38" s="2408" t="s">
        <v>1820</v>
      </c>
      <c r="C38" s="268" t="s">
        <v>1061</v>
      </c>
      <c r="D38" s="2923"/>
      <c r="E38" s="2278">
        <f t="shared" si="5"/>
        <v>2018792416</v>
      </c>
      <c r="F38" s="3090">
        <f t="shared" si="6"/>
        <v>113.89786730631741</v>
      </c>
      <c r="G38" s="2769"/>
      <c r="H38" s="2770"/>
      <c r="I38" s="2668">
        <v>75364084</v>
      </c>
      <c r="J38" s="2704">
        <v>79396622</v>
      </c>
      <c r="K38" s="2704">
        <v>18495265</v>
      </c>
      <c r="L38" s="2704">
        <v>287586900</v>
      </c>
      <c r="M38" s="2704">
        <v>583445077</v>
      </c>
      <c r="N38" s="2704">
        <v>484966925</v>
      </c>
      <c r="O38" s="2704">
        <v>266934328</v>
      </c>
      <c r="P38" s="2704">
        <v>35486577</v>
      </c>
      <c r="Q38" s="2704">
        <v>187116638</v>
      </c>
      <c r="R38" s="2932" t="s">
        <v>71</v>
      </c>
      <c r="S38" s="2934" t="s">
        <v>76</v>
      </c>
      <c r="T38" s="2760">
        <v>1</v>
      </c>
      <c r="U38" s="2761">
        <v>38777</v>
      </c>
      <c r="V38" s="2762" t="s">
        <v>73</v>
      </c>
      <c r="W38" s="2762" t="s">
        <v>85</v>
      </c>
      <c r="X38" s="2675">
        <f t="shared" ca="1" si="7"/>
        <v>6.8888888888888893</v>
      </c>
      <c r="Y38" s="48">
        <v>26</v>
      </c>
    </row>
    <row r="39" spans="1:25" ht="12" customHeight="1">
      <c r="A39" s="48"/>
      <c r="B39" s="1435" t="s">
        <v>1820</v>
      </c>
      <c r="C39" s="1436" t="s">
        <v>1748</v>
      </c>
      <c r="D39" s="2924" t="s">
        <v>46</v>
      </c>
      <c r="E39" s="2926">
        <f t="shared" si="5"/>
        <v>2050296949</v>
      </c>
      <c r="F39" s="3090">
        <f t="shared" si="6"/>
        <v>114.45025807951255</v>
      </c>
      <c r="G39" s="2730"/>
      <c r="H39" s="1845"/>
      <c r="I39" s="2928">
        <v>75083064</v>
      </c>
      <c r="J39" s="1844">
        <v>78559510</v>
      </c>
      <c r="K39" s="2930">
        <v>17653454</v>
      </c>
      <c r="L39" s="1844">
        <v>298496939</v>
      </c>
      <c r="M39" s="2930">
        <v>577083733</v>
      </c>
      <c r="N39" s="1844">
        <v>485732504</v>
      </c>
      <c r="O39" s="2930">
        <v>305217811</v>
      </c>
      <c r="P39" s="2930">
        <v>35224561</v>
      </c>
      <c r="Q39" s="2931">
        <v>177245373</v>
      </c>
      <c r="R39" s="2645" t="s">
        <v>103</v>
      </c>
      <c r="S39" s="2646" t="s">
        <v>72</v>
      </c>
      <c r="T39" s="2647">
        <v>2</v>
      </c>
      <c r="U39" s="2648">
        <v>40793</v>
      </c>
      <c r="V39" s="2649" t="s">
        <v>893</v>
      </c>
      <c r="W39" s="2649" t="s">
        <v>1113</v>
      </c>
      <c r="X39" s="2650">
        <f t="shared" ca="1" si="7"/>
        <v>1.3722222222222222</v>
      </c>
      <c r="Y39" s="48"/>
    </row>
    <row r="40" spans="1:25" ht="12" customHeight="1">
      <c r="A40" s="48">
        <v>28</v>
      </c>
      <c r="B40" s="2738" t="s">
        <v>47</v>
      </c>
      <c r="C40" s="2641" t="s">
        <v>149</v>
      </c>
      <c r="D40" s="2925"/>
      <c r="E40" s="3028">
        <f t="shared" si="5"/>
        <v>2054588085</v>
      </c>
      <c r="F40" s="3090">
        <f t="shared" si="6"/>
        <v>114.56353854324624</v>
      </c>
      <c r="G40" s="2909">
        <f>675+783+0+2187+4315+3653+1793+446+2361</f>
        <v>16213</v>
      </c>
      <c r="H40" s="1685"/>
      <c r="I40" s="2929">
        <v>79461718</v>
      </c>
      <c r="J40" s="1685">
        <v>86447530</v>
      </c>
      <c r="K40" s="1685">
        <v>17012834</v>
      </c>
      <c r="L40" s="1685">
        <v>288253327</v>
      </c>
      <c r="M40" s="1685">
        <v>582685011</v>
      </c>
      <c r="N40" s="1685">
        <v>487292887</v>
      </c>
      <c r="O40" s="1685">
        <v>319759618</v>
      </c>
      <c r="P40" s="1685">
        <v>33600016</v>
      </c>
      <c r="Q40" s="2525">
        <v>160075144</v>
      </c>
      <c r="R40" s="265" t="s">
        <v>124</v>
      </c>
      <c r="S40" s="266" t="s">
        <v>76</v>
      </c>
      <c r="T40" s="419">
        <v>1</v>
      </c>
      <c r="U40" s="2943">
        <v>37376</v>
      </c>
      <c r="V40" s="420" t="s">
        <v>82</v>
      </c>
      <c r="W40" s="420" t="s">
        <v>125</v>
      </c>
      <c r="X40" s="841">
        <f t="shared" ca="1" si="7"/>
        <v>10.725</v>
      </c>
      <c r="Y40" s="48">
        <v>28</v>
      </c>
    </row>
    <row r="41" spans="1:25" ht="12" customHeight="1">
      <c r="A41" s="48"/>
      <c r="B41" s="2911" t="s">
        <v>1820</v>
      </c>
      <c r="C41" s="3019" t="s">
        <v>1502</v>
      </c>
      <c r="D41" s="2939"/>
      <c r="E41" s="3029">
        <f t="shared" si="5"/>
        <v>2031332971</v>
      </c>
      <c r="F41" s="3090">
        <f t="shared" si="6"/>
        <v>114.678290342731</v>
      </c>
      <c r="G41" s="2314">
        <f>(108+778+0+266+157+413+50+91+63)+117+243+0+374+195+166+381+99+240</f>
        <v>3741</v>
      </c>
      <c r="H41" s="1684"/>
      <c r="I41" s="1675">
        <v>76787234</v>
      </c>
      <c r="J41" s="1683">
        <v>78762255</v>
      </c>
      <c r="K41" s="1683">
        <v>17661833</v>
      </c>
      <c r="L41" s="1683">
        <v>267535706</v>
      </c>
      <c r="M41" s="1683">
        <v>576683197</v>
      </c>
      <c r="N41" s="1683">
        <v>460935592</v>
      </c>
      <c r="O41" s="1683">
        <v>337122045</v>
      </c>
      <c r="P41" s="1683">
        <v>35800534</v>
      </c>
      <c r="Q41" s="1675">
        <v>180044575</v>
      </c>
      <c r="R41" s="2944" t="s">
        <v>103</v>
      </c>
      <c r="S41" s="2945" t="s">
        <v>76</v>
      </c>
      <c r="T41" s="422">
        <v>1</v>
      </c>
      <c r="U41" s="1605">
        <v>39815</v>
      </c>
      <c r="V41" s="416" t="s">
        <v>82</v>
      </c>
      <c r="W41" s="416" t="s">
        <v>1503</v>
      </c>
      <c r="X41" s="840">
        <f t="shared" ca="1" si="7"/>
        <v>4.052777777777778</v>
      </c>
      <c r="Y41" s="48"/>
    </row>
    <row r="42" spans="1:25" ht="12" customHeight="1">
      <c r="A42" s="48">
        <v>30</v>
      </c>
      <c r="B42" s="429" t="s">
        <v>47</v>
      </c>
      <c r="C42" s="272" t="s">
        <v>917</v>
      </c>
      <c r="D42" s="427" t="s">
        <v>46</v>
      </c>
      <c r="E42" s="3028">
        <f t="shared" si="5"/>
        <v>2018860525</v>
      </c>
      <c r="F42" s="3090">
        <f t="shared" si="6"/>
        <v>114.75970198630962</v>
      </c>
      <c r="G42" s="2314">
        <f>499+1077+0+2104+1600+798+384+1339+1027</f>
        <v>8828</v>
      </c>
      <c r="H42" s="1845"/>
      <c r="I42" s="1675">
        <v>74140806</v>
      </c>
      <c r="J42" s="2732">
        <v>76576376</v>
      </c>
      <c r="K42" s="1844">
        <v>17577106</v>
      </c>
      <c r="L42" s="1844">
        <v>304551121</v>
      </c>
      <c r="M42" s="1844">
        <v>494587185</v>
      </c>
      <c r="N42" s="1844">
        <v>474923533</v>
      </c>
      <c r="O42" s="1844">
        <v>349677414</v>
      </c>
      <c r="P42" s="1844">
        <v>33730570</v>
      </c>
      <c r="Q42" s="1677">
        <v>193096414</v>
      </c>
      <c r="R42" s="2733" t="s">
        <v>918</v>
      </c>
      <c r="S42" s="2734" t="s">
        <v>76</v>
      </c>
      <c r="T42" s="2735">
        <v>1</v>
      </c>
      <c r="U42" s="2736">
        <v>40908</v>
      </c>
      <c r="V42" s="2737" t="s">
        <v>82</v>
      </c>
      <c r="W42" s="2737" t="s">
        <v>919</v>
      </c>
      <c r="X42" s="840">
        <f t="shared" ca="1" si="7"/>
        <v>1.0583333333333333</v>
      </c>
      <c r="Y42" s="48">
        <v>30</v>
      </c>
    </row>
    <row r="43" spans="1:25" ht="12" customHeight="1">
      <c r="A43" s="48"/>
      <c r="B43" s="2994" t="s">
        <v>47</v>
      </c>
      <c r="C43" s="2938" t="s">
        <v>1038</v>
      </c>
      <c r="D43" s="2940"/>
      <c r="E43" s="2653">
        <f t="shared" si="5"/>
        <v>2050178485</v>
      </c>
      <c r="F43" s="3090">
        <f t="shared" si="6"/>
        <v>114.78527211814411</v>
      </c>
      <c r="G43" s="2315">
        <f>1532+2542+0+6769+16804</f>
        <v>27647</v>
      </c>
      <c r="H43" s="2999"/>
      <c r="I43" s="3002">
        <v>82922697</v>
      </c>
      <c r="J43" s="3003">
        <v>88241297</v>
      </c>
      <c r="K43" s="3003">
        <v>16939415</v>
      </c>
      <c r="L43" s="1861">
        <v>307804666</v>
      </c>
      <c r="M43" s="1861">
        <v>581101078</v>
      </c>
      <c r="N43" s="3004">
        <v>483658391</v>
      </c>
      <c r="O43" s="3004">
        <v>300585419</v>
      </c>
      <c r="P43" s="3005">
        <v>33294420</v>
      </c>
      <c r="Q43" s="3004">
        <v>155631102</v>
      </c>
      <c r="R43" s="2946" t="s">
        <v>88</v>
      </c>
      <c r="S43" s="3006" t="s">
        <v>76</v>
      </c>
      <c r="T43" s="3008">
        <v>1</v>
      </c>
      <c r="U43" s="3009">
        <v>38174</v>
      </c>
      <c r="V43" s="2947" t="s">
        <v>82</v>
      </c>
      <c r="W43" s="2947" t="s">
        <v>1041</v>
      </c>
      <c r="X43" s="2948">
        <f t="shared" ca="1" si="7"/>
        <v>8.5416666666666661</v>
      </c>
      <c r="Y43" s="48"/>
    </row>
    <row r="44" spans="1:25" ht="12" customHeight="1">
      <c r="A44" s="48">
        <v>32</v>
      </c>
      <c r="B44" s="1334" t="s">
        <v>1820</v>
      </c>
      <c r="C44" s="1367" t="s">
        <v>1239</v>
      </c>
      <c r="D44" s="1847"/>
      <c r="E44" s="2280">
        <f t="shared" si="5"/>
        <v>2029940648</v>
      </c>
      <c r="F44" s="3090">
        <f t="shared" si="6"/>
        <v>115.07984330199881</v>
      </c>
      <c r="G44" s="2998">
        <f>78+114+0+222+319+298+141+57+178</f>
        <v>1407</v>
      </c>
      <c r="H44" s="3001"/>
      <c r="I44" s="1858">
        <v>78616153</v>
      </c>
      <c r="J44" s="1858">
        <v>81686771</v>
      </c>
      <c r="K44" s="1858">
        <v>17884537</v>
      </c>
      <c r="L44" s="1858">
        <v>305493977</v>
      </c>
      <c r="M44" s="1858">
        <v>574070431</v>
      </c>
      <c r="N44" s="1858">
        <v>486146055</v>
      </c>
      <c r="O44" s="1858">
        <v>277077898</v>
      </c>
      <c r="P44" s="1858">
        <v>37693023</v>
      </c>
      <c r="Q44" s="1858">
        <v>171271803</v>
      </c>
      <c r="R44" s="1851" t="s">
        <v>79</v>
      </c>
      <c r="S44" s="2949" t="s">
        <v>72</v>
      </c>
      <c r="T44" s="2950">
        <v>4</v>
      </c>
      <c r="U44" s="1852">
        <v>40332</v>
      </c>
      <c r="V44" s="1853" t="s">
        <v>80</v>
      </c>
      <c r="W44" s="1853" t="s">
        <v>1040</v>
      </c>
      <c r="X44" s="1854">
        <f t="shared" ca="1" si="7"/>
        <v>2.6333333333333333</v>
      </c>
      <c r="Y44" s="48">
        <v>32</v>
      </c>
    </row>
    <row r="45" spans="1:25" ht="12" customHeight="1">
      <c r="A45" s="48"/>
      <c r="B45" s="1335" t="s">
        <v>1820</v>
      </c>
      <c r="C45" s="272" t="s">
        <v>1747</v>
      </c>
      <c r="D45" s="427" t="s">
        <v>46</v>
      </c>
      <c r="E45" s="3028">
        <f t="shared" ref="E45:E70" si="8">SUM(I45:Q45)</f>
        <v>2063111721</v>
      </c>
      <c r="F45" s="3090">
        <f t="shared" ref="F45:F70" si="9">SUM(I45/I$11,J45/J$11,K45/K$11,L45/L$11,M45/M$11,N45/N$11,O45/O$11,P45/P$11,Q45/Q$11)/9*100</f>
        <v>115.27534110641304</v>
      </c>
      <c r="G45" s="2316"/>
      <c r="H45" s="1845"/>
      <c r="I45" s="1673">
        <v>75755385</v>
      </c>
      <c r="J45" s="1673">
        <v>79535269</v>
      </c>
      <c r="K45" s="1673">
        <v>17660724</v>
      </c>
      <c r="L45" s="1673">
        <v>305265974</v>
      </c>
      <c r="M45" s="1673">
        <v>577106251</v>
      </c>
      <c r="N45" s="1673">
        <v>487373914</v>
      </c>
      <c r="O45" s="1673">
        <v>305217772</v>
      </c>
      <c r="P45" s="1673">
        <v>35267583</v>
      </c>
      <c r="Q45" s="1673">
        <v>179928849</v>
      </c>
      <c r="R45" s="262" t="s">
        <v>103</v>
      </c>
      <c r="S45" s="273" t="s">
        <v>72</v>
      </c>
      <c r="T45" s="870">
        <v>4</v>
      </c>
      <c r="U45" s="1601">
        <v>41159</v>
      </c>
      <c r="V45" s="417" t="s">
        <v>82</v>
      </c>
      <c r="W45" s="417" t="s">
        <v>1113</v>
      </c>
      <c r="X45" s="840">
        <f t="shared" ref="X45:X70" ca="1" si="10">YEARFRAC(U45,X$6)</f>
        <v>0.37222222222222223</v>
      </c>
      <c r="Y45" s="48"/>
    </row>
    <row r="46" spans="1:25" ht="12" customHeight="1">
      <c r="A46" s="48">
        <v>34</v>
      </c>
      <c r="B46" s="1336" t="s">
        <v>1820</v>
      </c>
      <c r="C46" s="826" t="s">
        <v>923</v>
      </c>
      <c r="D46" s="2914" t="s">
        <v>46</v>
      </c>
      <c r="E46" s="3028">
        <f t="shared" si="8"/>
        <v>2066578553</v>
      </c>
      <c r="F46" s="3090">
        <f t="shared" si="9"/>
        <v>115.32716267333973</v>
      </c>
      <c r="G46" s="2909">
        <f>108+157+0+302+331+280+122+110+462</f>
        <v>1872</v>
      </c>
      <c r="H46" s="1686"/>
      <c r="I46" s="1678">
        <v>75051263</v>
      </c>
      <c r="J46" s="1678">
        <v>80135168</v>
      </c>
      <c r="K46" s="1678">
        <v>17657061</v>
      </c>
      <c r="L46" s="1678">
        <v>302192145</v>
      </c>
      <c r="M46" s="1678">
        <v>578708723</v>
      </c>
      <c r="N46" s="1678">
        <v>490303204</v>
      </c>
      <c r="O46" s="1678">
        <v>303462080</v>
      </c>
      <c r="P46" s="1697">
        <v>34886587</v>
      </c>
      <c r="Q46" s="1697">
        <v>184182322</v>
      </c>
      <c r="R46" s="2933" t="s">
        <v>81</v>
      </c>
      <c r="S46" s="2935" t="s">
        <v>76</v>
      </c>
      <c r="T46" s="2951">
        <v>2</v>
      </c>
      <c r="U46" s="2952">
        <v>41255</v>
      </c>
      <c r="V46" s="2937" t="s">
        <v>82</v>
      </c>
      <c r="W46" s="2937" t="s">
        <v>1851</v>
      </c>
      <c r="X46" s="841">
        <f t="shared" ca="1" si="10"/>
        <v>0.10833333333333334</v>
      </c>
      <c r="Y46" s="48">
        <v>34</v>
      </c>
    </row>
    <row r="47" spans="1:25" ht="12" customHeight="1">
      <c r="A47" s="48"/>
      <c r="B47" s="1335" t="s">
        <v>1820</v>
      </c>
      <c r="C47" s="272" t="s">
        <v>923</v>
      </c>
      <c r="D47" s="414" t="s">
        <v>46</v>
      </c>
      <c r="E47" s="3030">
        <f t="shared" si="8"/>
        <v>2066999087</v>
      </c>
      <c r="F47" s="3090">
        <f t="shared" si="9"/>
        <v>115.37198819808995</v>
      </c>
      <c r="G47" s="2997">
        <f>125+105+0+214+250+208+93+106+347</f>
        <v>1448</v>
      </c>
      <c r="H47" s="3000">
        <f>46+34+0+176+55+49+77+71+177</f>
        <v>685</v>
      </c>
      <c r="I47" s="1603">
        <v>75065868</v>
      </c>
      <c r="J47" s="1603">
        <v>80153972</v>
      </c>
      <c r="K47" s="1603">
        <v>17657061</v>
      </c>
      <c r="L47" s="1603">
        <v>302070795</v>
      </c>
      <c r="M47" s="1603">
        <v>578770485</v>
      </c>
      <c r="N47" s="1603">
        <v>490194263</v>
      </c>
      <c r="O47" s="1603">
        <v>303462354</v>
      </c>
      <c r="P47" s="1674">
        <v>34903449</v>
      </c>
      <c r="Q47" s="1674">
        <v>184720840</v>
      </c>
      <c r="R47" s="270" t="s">
        <v>81</v>
      </c>
      <c r="S47" s="271" t="s">
        <v>76</v>
      </c>
      <c r="T47" s="2953">
        <v>2</v>
      </c>
      <c r="U47" s="1605">
        <v>41148</v>
      </c>
      <c r="V47" s="416" t="s">
        <v>82</v>
      </c>
      <c r="W47" s="416" t="s">
        <v>908</v>
      </c>
      <c r="X47" s="840">
        <f t="shared" ca="1" si="10"/>
        <v>0.4</v>
      </c>
      <c r="Y47" s="48"/>
    </row>
    <row r="48" spans="1:25" ht="12" customHeight="1">
      <c r="A48" s="48">
        <v>36</v>
      </c>
      <c r="B48" s="418" t="s">
        <v>47</v>
      </c>
      <c r="C48" s="826" t="s">
        <v>1832</v>
      </c>
      <c r="D48" s="2995" t="s">
        <v>46</v>
      </c>
      <c r="E48" s="2281">
        <f t="shared" si="8"/>
        <v>2066606810</v>
      </c>
      <c r="F48" s="3090">
        <f t="shared" si="9"/>
        <v>115.47474185089901</v>
      </c>
      <c r="G48" s="2909">
        <f>96.2+142.8+0+285.3+265.1+208.2+260.8+103.7+362.7</f>
        <v>1724.8</v>
      </c>
      <c r="H48" s="1686"/>
      <c r="I48" s="1678">
        <v>76940416</v>
      </c>
      <c r="J48" s="1678">
        <v>81505282</v>
      </c>
      <c r="K48" s="1678">
        <v>17567124</v>
      </c>
      <c r="L48" s="1678">
        <v>296349139</v>
      </c>
      <c r="M48" s="1678">
        <v>582253551</v>
      </c>
      <c r="N48" s="1678">
        <v>483828809</v>
      </c>
      <c r="O48" s="1678">
        <v>311302762</v>
      </c>
      <c r="P48" s="1697">
        <v>34215668</v>
      </c>
      <c r="Q48" s="1697">
        <v>182644059</v>
      </c>
      <c r="R48" s="2933" t="s">
        <v>104</v>
      </c>
      <c r="S48" s="2935" t="s">
        <v>76</v>
      </c>
      <c r="T48" s="2951">
        <v>8</v>
      </c>
      <c r="U48" s="2952">
        <v>41215</v>
      </c>
      <c r="V48" s="2937" t="s">
        <v>89</v>
      </c>
      <c r="W48" s="2937" t="s">
        <v>1197</v>
      </c>
      <c r="X48" s="841">
        <f t="shared" ca="1" si="10"/>
        <v>0.21944444444444444</v>
      </c>
      <c r="Y48" s="48">
        <v>36</v>
      </c>
    </row>
    <row r="49" spans="1:25" ht="12" customHeight="1">
      <c r="A49" s="48"/>
      <c r="B49" s="421" t="s">
        <v>47</v>
      </c>
      <c r="C49" s="272" t="s">
        <v>141</v>
      </c>
      <c r="D49" s="425"/>
      <c r="E49" s="3028">
        <f t="shared" si="8"/>
        <v>2057041238</v>
      </c>
      <c r="F49" s="3090">
        <f t="shared" si="9"/>
        <v>115.80253801388858</v>
      </c>
      <c r="G49" s="2314">
        <f>320+453+0+982+1078+875+1001+248+1215</f>
        <v>6172</v>
      </c>
      <c r="H49" s="1682"/>
      <c r="I49" s="1681">
        <v>77047011</v>
      </c>
      <c r="J49" s="1681">
        <v>88523736</v>
      </c>
      <c r="K49" s="1681">
        <v>17918901</v>
      </c>
      <c r="L49" s="1681">
        <v>291046987</v>
      </c>
      <c r="M49" s="1681">
        <v>579541575</v>
      </c>
      <c r="N49" s="1681">
        <v>484604881</v>
      </c>
      <c r="O49" s="1681">
        <v>308940355</v>
      </c>
      <c r="P49" s="1604">
        <v>33769397</v>
      </c>
      <c r="Q49" s="1604">
        <v>175648395</v>
      </c>
      <c r="R49" s="262" t="s">
        <v>142</v>
      </c>
      <c r="S49" s="263" t="s">
        <v>76</v>
      </c>
      <c r="T49" s="415">
        <v>1</v>
      </c>
      <c r="U49" s="1601">
        <v>39485</v>
      </c>
      <c r="V49" s="417" t="s">
        <v>84</v>
      </c>
      <c r="W49" s="417" t="s">
        <v>1199</v>
      </c>
      <c r="X49" s="840">
        <f t="shared" ca="1" si="10"/>
        <v>4.9555555555555557</v>
      </c>
      <c r="Y49" s="48"/>
    </row>
    <row r="50" spans="1:25" ht="12" customHeight="1">
      <c r="A50" s="48">
        <v>38</v>
      </c>
      <c r="B50" s="1336" t="s">
        <v>1820</v>
      </c>
      <c r="C50" s="268" t="s">
        <v>1241</v>
      </c>
      <c r="D50" s="2941"/>
      <c r="E50" s="2996">
        <f t="shared" si="8"/>
        <v>2041037087</v>
      </c>
      <c r="F50" s="3090">
        <f t="shared" si="9"/>
        <v>115.8455415474148</v>
      </c>
      <c r="G50" s="2909">
        <f>36+50+0+29+115+92+16+23+91</f>
        <v>452</v>
      </c>
      <c r="H50" s="2927"/>
      <c r="I50" s="1678">
        <v>76052653</v>
      </c>
      <c r="J50" s="1697">
        <v>81589626</v>
      </c>
      <c r="K50" s="1697">
        <v>17702680</v>
      </c>
      <c r="L50" s="1697">
        <v>299055780</v>
      </c>
      <c r="M50" s="1697">
        <v>579100338</v>
      </c>
      <c r="N50" s="1697">
        <v>485878580</v>
      </c>
      <c r="O50" s="1697">
        <v>277080042</v>
      </c>
      <c r="P50" s="2990">
        <v>38903203</v>
      </c>
      <c r="Q50" s="1697">
        <v>185674185</v>
      </c>
      <c r="R50" s="2933" t="s">
        <v>79</v>
      </c>
      <c r="S50" s="3007" t="s">
        <v>72</v>
      </c>
      <c r="T50" s="2951">
        <v>4</v>
      </c>
      <c r="U50" s="2952">
        <v>40851</v>
      </c>
      <c r="V50" s="2937" t="s">
        <v>80</v>
      </c>
      <c r="W50" s="2937" t="s">
        <v>1040</v>
      </c>
      <c r="X50" s="841">
        <f t="shared" ca="1" si="10"/>
        <v>1.2138888888888888</v>
      </c>
      <c r="Y50" s="48">
        <v>38</v>
      </c>
    </row>
    <row r="51" spans="1:25" ht="12" customHeight="1">
      <c r="A51" s="48"/>
      <c r="B51" s="421" t="s">
        <v>47</v>
      </c>
      <c r="C51" s="272" t="s">
        <v>87</v>
      </c>
      <c r="D51" s="425"/>
      <c r="E51" s="3028">
        <f t="shared" si="8"/>
        <v>2089131634</v>
      </c>
      <c r="F51" s="3090">
        <f t="shared" si="9"/>
        <v>115.99230338465159</v>
      </c>
      <c r="G51" s="2316"/>
      <c r="H51" s="1684"/>
      <c r="I51" s="1603">
        <v>85868409</v>
      </c>
      <c r="J51" s="1674">
        <v>80540912</v>
      </c>
      <c r="K51" s="1674">
        <v>17027530</v>
      </c>
      <c r="L51" s="1674">
        <v>311689449</v>
      </c>
      <c r="M51" s="1674">
        <v>586338220</v>
      </c>
      <c r="N51" s="1674">
        <v>488585911</v>
      </c>
      <c r="O51" s="1604">
        <v>309410285</v>
      </c>
      <c r="P51" s="1701">
        <v>31723664</v>
      </c>
      <c r="Q51" s="1674">
        <v>177947254</v>
      </c>
      <c r="R51" s="262" t="s">
        <v>88</v>
      </c>
      <c r="S51" s="263" t="s">
        <v>76</v>
      </c>
      <c r="T51" s="415">
        <v>1</v>
      </c>
      <c r="U51" s="1601">
        <v>38162</v>
      </c>
      <c r="V51" s="417" t="s">
        <v>89</v>
      </c>
      <c r="W51" s="417" t="s">
        <v>1180</v>
      </c>
      <c r="X51" s="840">
        <f t="shared" ca="1" si="10"/>
        <v>8.5749999999999993</v>
      </c>
      <c r="Y51" s="48"/>
    </row>
    <row r="52" spans="1:25" ht="12" customHeight="1">
      <c r="A52" s="48">
        <v>40</v>
      </c>
      <c r="B52" s="421" t="s">
        <v>47</v>
      </c>
      <c r="C52" s="47" t="s">
        <v>145</v>
      </c>
      <c r="D52" s="2942"/>
      <c r="E52" s="3028">
        <f t="shared" si="8"/>
        <v>2055827268</v>
      </c>
      <c r="F52" s="3090">
        <f t="shared" si="9"/>
        <v>116.037478102666</v>
      </c>
      <c r="G52" s="2314">
        <f>287+371+0+818+930+770+813+211+1028</f>
        <v>5228</v>
      </c>
      <c r="H52" s="1682"/>
      <c r="I52" s="1681">
        <v>77769940</v>
      </c>
      <c r="J52" s="1604">
        <v>90910681</v>
      </c>
      <c r="K52" s="1604">
        <v>17878814</v>
      </c>
      <c r="L52" s="1604">
        <v>290042895</v>
      </c>
      <c r="M52" s="1604">
        <v>579690396</v>
      </c>
      <c r="N52" s="1604">
        <v>484160003</v>
      </c>
      <c r="O52" s="1604">
        <v>310315129</v>
      </c>
      <c r="P52" s="1692">
        <v>34006109</v>
      </c>
      <c r="Q52" s="1604">
        <v>171053301</v>
      </c>
      <c r="R52" s="262" t="s">
        <v>115</v>
      </c>
      <c r="S52" s="263" t="s">
        <v>76</v>
      </c>
      <c r="T52" s="415">
        <v>1</v>
      </c>
      <c r="U52" s="1601">
        <v>39817</v>
      </c>
      <c r="V52" s="417" t="s">
        <v>116</v>
      </c>
      <c r="W52" s="417" t="s">
        <v>1195</v>
      </c>
      <c r="X52" s="841">
        <f t="shared" ca="1" si="10"/>
        <v>4.0472222222222225</v>
      </c>
      <c r="Y52" s="48">
        <v>40</v>
      </c>
    </row>
    <row r="53" spans="1:25" ht="12" customHeight="1">
      <c r="A53" s="48"/>
      <c r="B53" s="2963" t="s">
        <v>1820</v>
      </c>
      <c r="C53" s="2964" t="s">
        <v>1746</v>
      </c>
      <c r="D53" s="1438" t="s">
        <v>46</v>
      </c>
      <c r="E53" s="2283">
        <f t="shared" si="8"/>
        <v>2073533630</v>
      </c>
      <c r="F53" s="3090">
        <f t="shared" si="9"/>
        <v>116.10949563242718</v>
      </c>
      <c r="G53" s="2961">
        <f>115+148+0+1024+178+166+635+118+303</f>
        <v>2687</v>
      </c>
      <c r="H53" s="2962">
        <f>54+91+0+1002+10+12+26+131+293</f>
        <v>1619</v>
      </c>
      <c r="I53" s="1694">
        <v>77485670</v>
      </c>
      <c r="J53" s="1689">
        <v>79500816</v>
      </c>
      <c r="K53" s="1689">
        <v>17660724</v>
      </c>
      <c r="L53" s="2532">
        <v>299988014</v>
      </c>
      <c r="M53" s="1689">
        <v>577098703</v>
      </c>
      <c r="N53" s="1689">
        <v>487440321</v>
      </c>
      <c r="O53" s="1689">
        <v>322709493</v>
      </c>
      <c r="P53" s="1705">
        <v>36126394</v>
      </c>
      <c r="Q53" s="2532">
        <v>175523495</v>
      </c>
      <c r="R53" s="2954" t="s">
        <v>103</v>
      </c>
      <c r="S53" s="2955" t="s">
        <v>72</v>
      </c>
      <c r="T53" s="2956">
        <v>4</v>
      </c>
      <c r="U53" s="2957">
        <v>41159</v>
      </c>
      <c r="V53" s="2958" t="s">
        <v>82</v>
      </c>
      <c r="W53" s="2959" t="s">
        <v>1117</v>
      </c>
      <c r="X53" s="2960">
        <f t="shared" ca="1" si="10"/>
        <v>0.37222222222222223</v>
      </c>
      <c r="Y53" s="48"/>
    </row>
    <row r="54" spans="1:25" ht="12" customHeight="1">
      <c r="A54" s="48">
        <v>42</v>
      </c>
      <c r="B54" s="1337" t="s">
        <v>1820</v>
      </c>
      <c r="C54" s="286" t="s">
        <v>1824</v>
      </c>
      <c r="D54" s="1464"/>
      <c r="E54" s="2282">
        <f t="shared" si="8"/>
        <v>2069642562</v>
      </c>
      <c r="F54" s="3090">
        <f t="shared" si="9"/>
        <v>116.16756879564218</v>
      </c>
      <c r="G54" s="2321">
        <f>355.6+477.2+0+975.7+1140.5+887.5+891.5+164.2+836.7</f>
        <v>5728.9</v>
      </c>
      <c r="H54" s="1699"/>
      <c r="I54" s="2526">
        <v>77431365</v>
      </c>
      <c r="J54" s="2530">
        <v>80232277</v>
      </c>
      <c r="K54" s="1697">
        <v>16996587</v>
      </c>
      <c r="L54" s="2530">
        <v>301703146</v>
      </c>
      <c r="M54" s="1697">
        <v>576204183</v>
      </c>
      <c r="N54" s="2530">
        <v>485825646</v>
      </c>
      <c r="O54" s="2530">
        <v>292075855</v>
      </c>
      <c r="P54" s="2535">
        <v>35198987</v>
      </c>
      <c r="Q54" s="2530">
        <v>203974516</v>
      </c>
      <c r="R54" s="284" t="s">
        <v>105</v>
      </c>
      <c r="S54" s="285" t="s">
        <v>76</v>
      </c>
      <c r="T54" s="439">
        <v>1</v>
      </c>
      <c r="U54" s="1611">
        <v>38389</v>
      </c>
      <c r="V54" s="440" t="s">
        <v>84</v>
      </c>
      <c r="W54" s="440" t="s">
        <v>1114</v>
      </c>
      <c r="X54" s="852">
        <f t="shared" ca="1" si="10"/>
        <v>7.958333333333333</v>
      </c>
      <c r="Y54" s="48">
        <v>42</v>
      </c>
    </row>
    <row r="55" spans="1:25" ht="12" customHeight="1">
      <c r="A55" s="48"/>
      <c r="B55" s="1333" t="s">
        <v>1820</v>
      </c>
      <c r="C55" s="1373" t="s">
        <v>93</v>
      </c>
      <c r="D55" s="442"/>
      <c r="E55" s="3028">
        <f t="shared" si="8"/>
        <v>2042533779</v>
      </c>
      <c r="F55" s="3090">
        <f t="shared" si="9"/>
        <v>116.1725106890578</v>
      </c>
      <c r="G55" s="2320">
        <f>656+952+0+2686+1522+3699+976+466+1899</f>
        <v>12856</v>
      </c>
      <c r="H55" s="1698"/>
      <c r="I55" s="1681">
        <v>76228289</v>
      </c>
      <c r="J55" s="1604">
        <v>83024045</v>
      </c>
      <c r="K55" s="1604">
        <v>18519559</v>
      </c>
      <c r="L55" s="1604">
        <v>295798708</v>
      </c>
      <c r="M55" s="1604">
        <v>583831264</v>
      </c>
      <c r="N55" s="1604">
        <v>482365534</v>
      </c>
      <c r="O55" s="1604">
        <v>264284049</v>
      </c>
      <c r="P55" s="1692">
        <v>36083605</v>
      </c>
      <c r="Q55" s="1604">
        <v>202398726</v>
      </c>
      <c r="R55" s="277" t="s">
        <v>71</v>
      </c>
      <c r="S55" s="278" t="s">
        <v>76</v>
      </c>
      <c r="T55" s="431">
        <v>1</v>
      </c>
      <c r="U55" s="1610">
        <v>38567</v>
      </c>
      <c r="V55" s="432" t="s">
        <v>73</v>
      </c>
      <c r="W55" s="432" t="s">
        <v>94</v>
      </c>
      <c r="X55" s="851">
        <f t="shared" ca="1" si="10"/>
        <v>7.4666666666666668</v>
      </c>
      <c r="Y55" s="48"/>
    </row>
    <row r="56" spans="1:25" ht="12" customHeight="1">
      <c r="A56" s="48">
        <v>44</v>
      </c>
      <c r="B56" s="433" t="s">
        <v>47</v>
      </c>
      <c r="C56" s="826" t="s">
        <v>1738</v>
      </c>
      <c r="D56" s="1368" t="s">
        <v>46</v>
      </c>
      <c r="E56" s="2282">
        <f t="shared" si="8"/>
        <v>2073690799</v>
      </c>
      <c r="F56" s="3090">
        <f t="shared" si="9"/>
        <v>116.6107845031076</v>
      </c>
      <c r="G56" s="2321">
        <f>96.48+134.1+0+283.45+244.63+198.62+257.9+94.82+358.06</f>
        <v>1668.0599999999997</v>
      </c>
      <c r="H56" s="1695"/>
      <c r="I56" s="1678">
        <v>76947569</v>
      </c>
      <c r="J56" s="1697">
        <v>88599427</v>
      </c>
      <c r="K56" s="1697">
        <v>17492639</v>
      </c>
      <c r="L56" s="1697">
        <v>296298478</v>
      </c>
      <c r="M56" s="1697">
        <v>582261413</v>
      </c>
      <c r="N56" s="1697">
        <v>483812811</v>
      </c>
      <c r="O56" s="1697">
        <v>311328522</v>
      </c>
      <c r="P56" s="1697">
        <v>34314726</v>
      </c>
      <c r="Q56" s="1697">
        <v>182635214</v>
      </c>
      <c r="R56" s="284" t="s">
        <v>104</v>
      </c>
      <c r="S56" s="285" t="s">
        <v>76</v>
      </c>
      <c r="T56" s="441">
        <v>8</v>
      </c>
      <c r="U56" s="1611">
        <v>41186</v>
      </c>
      <c r="V56" s="440" t="s">
        <v>89</v>
      </c>
      <c r="W56" s="440" t="s">
        <v>1197</v>
      </c>
      <c r="X56" s="852">
        <f t="shared" ca="1" si="10"/>
        <v>0.29722222222222222</v>
      </c>
      <c r="Y56" s="48">
        <v>44</v>
      </c>
    </row>
    <row r="57" spans="1:25" ht="12" customHeight="1">
      <c r="A57" s="48"/>
      <c r="B57" s="434" t="s">
        <v>47</v>
      </c>
      <c r="C57" s="827" t="s">
        <v>1745</v>
      </c>
      <c r="D57" s="858" t="s">
        <v>46</v>
      </c>
      <c r="E57" s="3028">
        <f t="shared" si="8"/>
        <v>2073690799</v>
      </c>
      <c r="F57" s="3090">
        <f t="shared" si="9"/>
        <v>116.6107845031076</v>
      </c>
      <c r="G57" s="2320">
        <f>325.7+615.5+0+1719.77+1324.8+655.24+950.88+250.23+1267.86</f>
        <v>7109.98</v>
      </c>
      <c r="H57" s="1696"/>
      <c r="I57" s="1603">
        <v>76947569</v>
      </c>
      <c r="J57" s="1604">
        <v>88599427</v>
      </c>
      <c r="K57" s="1604">
        <v>17492639</v>
      </c>
      <c r="L57" s="1604">
        <v>296298478</v>
      </c>
      <c r="M57" s="1604">
        <v>582261413</v>
      </c>
      <c r="N57" s="1604">
        <v>483812811</v>
      </c>
      <c r="O57" s="1604">
        <v>311328522</v>
      </c>
      <c r="P57" s="1604">
        <v>34314726</v>
      </c>
      <c r="Q57" s="1604">
        <v>182635214</v>
      </c>
      <c r="R57" s="277" t="s">
        <v>104</v>
      </c>
      <c r="S57" s="278" t="s">
        <v>76</v>
      </c>
      <c r="T57" s="431">
        <v>1</v>
      </c>
      <c r="U57" s="1610">
        <v>41186</v>
      </c>
      <c r="V57" s="432" t="s">
        <v>89</v>
      </c>
      <c r="W57" s="432" t="s">
        <v>1197</v>
      </c>
      <c r="X57" s="851">
        <f t="shared" ca="1" si="10"/>
        <v>0.29722222222222222</v>
      </c>
      <c r="Y57" s="48"/>
    </row>
    <row r="58" spans="1:25" ht="12" customHeight="1">
      <c r="A58" s="48">
        <v>46</v>
      </c>
      <c r="B58" s="434" t="s">
        <v>47</v>
      </c>
      <c r="C58" s="283" t="s">
        <v>806</v>
      </c>
      <c r="D58" s="905"/>
      <c r="E58" s="3028">
        <f t="shared" si="8"/>
        <v>2096462879</v>
      </c>
      <c r="F58" s="3090">
        <f t="shared" si="9"/>
        <v>117.23308604766933</v>
      </c>
      <c r="G58" s="2320">
        <f>468.6+660.4+0+1520.6+1255.4+1054.9+1331.5+441.3+2291.8</f>
        <v>9024.5</v>
      </c>
      <c r="H58" s="1691"/>
      <c r="I58" s="1681">
        <v>75052537</v>
      </c>
      <c r="J58" s="1604">
        <v>84823247</v>
      </c>
      <c r="K58" s="1604">
        <v>18048564</v>
      </c>
      <c r="L58" s="1604">
        <v>299880731</v>
      </c>
      <c r="M58" s="1604">
        <v>576103500</v>
      </c>
      <c r="N58" s="1604">
        <v>484900652</v>
      </c>
      <c r="O58" s="1604">
        <v>343864694</v>
      </c>
      <c r="P58" s="1604">
        <v>33861762</v>
      </c>
      <c r="Q58" s="1604">
        <v>179927192</v>
      </c>
      <c r="R58" s="277" t="s">
        <v>135</v>
      </c>
      <c r="S58" s="280" t="s">
        <v>72</v>
      </c>
      <c r="T58" s="431">
        <v>1</v>
      </c>
      <c r="U58" s="1610">
        <v>39683</v>
      </c>
      <c r="V58" s="432" t="s">
        <v>73</v>
      </c>
      <c r="W58" s="432" t="s">
        <v>136</v>
      </c>
      <c r="X58" s="852">
        <f t="shared" ca="1" si="10"/>
        <v>4.4111111111111114</v>
      </c>
      <c r="Y58" s="48">
        <v>46</v>
      </c>
    </row>
    <row r="59" spans="1:25" ht="12" customHeight="1">
      <c r="A59" s="48"/>
      <c r="B59" s="430" t="s">
        <v>47</v>
      </c>
      <c r="C59" s="287" t="s">
        <v>130</v>
      </c>
      <c r="D59" s="443"/>
      <c r="E59" s="3029">
        <f t="shared" si="8"/>
        <v>2093969937</v>
      </c>
      <c r="F59" s="3090">
        <f t="shared" si="9"/>
        <v>117.33019981445034</v>
      </c>
      <c r="G59" s="2490">
        <f>215+280+0+738+429+348+744+180+1105</f>
        <v>4039</v>
      </c>
      <c r="H59" s="1700"/>
      <c r="I59" s="1703">
        <v>76459306</v>
      </c>
      <c r="J59" s="1689">
        <v>80746777</v>
      </c>
      <c r="K59" s="1689">
        <v>17817967</v>
      </c>
      <c r="L59" s="1689">
        <v>307929578</v>
      </c>
      <c r="M59" s="1689">
        <v>576714890</v>
      </c>
      <c r="N59" s="1689">
        <v>484783957</v>
      </c>
      <c r="O59" s="1689">
        <v>320968722</v>
      </c>
      <c r="P59" s="1689">
        <v>34837417</v>
      </c>
      <c r="Q59" s="1689">
        <v>193711323</v>
      </c>
      <c r="R59" s="281" t="s">
        <v>131</v>
      </c>
      <c r="S59" s="282" t="s">
        <v>76</v>
      </c>
      <c r="T59" s="437">
        <v>1</v>
      </c>
      <c r="U59" s="1609">
        <v>39523</v>
      </c>
      <c r="V59" s="438" t="s">
        <v>84</v>
      </c>
      <c r="W59" s="438" t="s">
        <v>132</v>
      </c>
      <c r="X59" s="851">
        <f t="shared" ca="1" si="10"/>
        <v>4.8472222222222223</v>
      </c>
      <c r="Y59" s="48"/>
    </row>
    <row r="60" spans="1:25" ht="12" customHeight="1">
      <c r="A60" s="48">
        <v>48</v>
      </c>
      <c r="B60" s="1339" t="s">
        <v>1820</v>
      </c>
      <c r="C60" s="290" t="s">
        <v>1826</v>
      </c>
      <c r="D60" s="2455"/>
      <c r="E60" s="3031">
        <f t="shared" si="8"/>
        <v>2095606827</v>
      </c>
      <c r="F60" s="3090">
        <f t="shared" si="9"/>
        <v>118.28584485025686</v>
      </c>
      <c r="G60" s="2324">
        <f>811+999+0+2887+4297+3404+2998+595</f>
        <v>15991</v>
      </c>
      <c r="H60" s="1876"/>
      <c r="I60" s="1673">
        <v>84980138</v>
      </c>
      <c r="J60" s="1604">
        <v>82086199</v>
      </c>
      <c r="K60" s="1604">
        <v>17386948</v>
      </c>
      <c r="L60" s="1604">
        <v>298548015</v>
      </c>
      <c r="M60" s="1604">
        <v>591134831</v>
      </c>
      <c r="N60" s="1604">
        <v>491043803</v>
      </c>
      <c r="O60" s="1604">
        <v>310841214</v>
      </c>
      <c r="P60" s="1860">
        <v>37257475</v>
      </c>
      <c r="Q60" s="1604">
        <v>182328204</v>
      </c>
      <c r="R60" s="288" t="s">
        <v>171</v>
      </c>
      <c r="S60" s="289" t="s">
        <v>76</v>
      </c>
      <c r="T60" s="444">
        <v>1</v>
      </c>
      <c r="U60" s="1614">
        <v>37681</v>
      </c>
      <c r="V60" s="854" t="s">
        <v>138</v>
      </c>
      <c r="W60" s="854" t="s">
        <v>1043</v>
      </c>
      <c r="X60" s="851">
        <f t="shared" ca="1" si="10"/>
        <v>9.8888888888888893</v>
      </c>
      <c r="Y60" s="48">
        <v>48</v>
      </c>
    </row>
    <row r="61" spans="1:25" ht="12" customHeight="1">
      <c r="A61" s="48"/>
      <c r="B61" s="1910" t="s">
        <v>47</v>
      </c>
      <c r="C61" s="1911" t="s">
        <v>151</v>
      </c>
      <c r="D61" s="1912"/>
      <c r="E61" s="3030">
        <f t="shared" si="8"/>
        <v>2084502320</v>
      </c>
      <c r="F61" s="3090">
        <f t="shared" si="9"/>
        <v>118.40863822482883</v>
      </c>
      <c r="G61" s="2325">
        <f>334+482+0+1294+1548+1350+1456+203+1476</f>
        <v>8143</v>
      </c>
      <c r="H61" s="1913"/>
      <c r="I61" s="1855">
        <v>79769155</v>
      </c>
      <c r="J61" s="1856">
        <v>88221049</v>
      </c>
      <c r="K61" s="1856">
        <v>17932566</v>
      </c>
      <c r="L61" s="1856">
        <v>293893106</v>
      </c>
      <c r="M61" s="1856">
        <v>581154502</v>
      </c>
      <c r="N61" s="1856">
        <v>484626306</v>
      </c>
      <c r="O61" s="1856">
        <v>316902047</v>
      </c>
      <c r="P61" s="1915">
        <v>36384661</v>
      </c>
      <c r="Q61" s="1856">
        <v>185618928</v>
      </c>
      <c r="R61" s="1916" t="s">
        <v>152</v>
      </c>
      <c r="S61" s="1917" t="s">
        <v>76</v>
      </c>
      <c r="T61" s="1918">
        <v>1</v>
      </c>
      <c r="U61" s="1919">
        <v>39118</v>
      </c>
      <c r="V61" s="1920" t="s">
        <v>82</v>
      </c>
      <c r="W61" s="1920" t="s">
        <v>153</v>
      </c>
      <c r="X61" s="1921">
        <f t="shared" ca="1" si="10"/>
        <v>5.9611111111111112</v>
      </c>
      <c r="Y61" s="48"/>
    </row>
    <row r="62" spans="1:25" ht="12" customHeight="1">
      <c r="A62" s="48">
        <v>50</v>
      </c>
      <c r="B62" s="2625" t="s">
        <v>1820</v>
      </c>
      <c r="C62" s="2428" t="s">
        <v>1825</v>
      </c>
      <c r="D62" s="2624"/>
      <c r="E62" s="2280">
        <f t="shared" si="8"/>
        <v>2097042223</v>
      </c>
      <c r="F62" s="3090">
        <f t="shared" si="9"/>
        <v>119.19464545369914</v>
      </c>
      <c r="G62" s="2328">
        <f>218.9+322.4+0+627.2+763.3+616.5+708.5+151+628.5</f>
        <v>4036.3</v>
      </c>
      <c r="H62" s="1949"/>
      <c r="I62" s="2527">
        <v>79541636</v>
      </c>
      <c r="J62" s="2531">
        <v>83847245</v>
      </c>
      <c r="K62" s="2531">
        <v>17787979</v>
      </c>
      <c r="L62" s="1857">
        <v>304729847</v>
      </c>
      <c r="M62" s="2534">
        <v>582549377</v>
      </c>
      <c r="N62" s="1850">
        <v>485987428</v>
      </c>
      <c r="O62" s="2534">
        <v>293432096</v>
      </c>
      <c r="P62" s="2536">
        <v>36934509</v>
      </c>
      <c r="Q62" s="2534">
        <v>212232106</v>
      </c>
      <c r="R62" s="1866" t="s">
        <v>105</v>
      </c>
      <c r="S62" s="1867" t="s">
        <v>76</v>
      </c>
      <c r="T62" s="1868">
        <v>1</v>
      </c>
      <c r="U62" s="2576">
        <v>37253</v>
      </c>
      <c r="V62" s="1870" t="s">
        <v>84</v>
      </c>
      <c r="W62" s="1870" t="s">
        <v>108</v>
      </c>
      <c r="X62" s="1871">
        <f t="shared" ca="1" si="10"/>
        <v>11.063888888888888</v>
      </c>
      <c r="Y62" s="48">
        <v>50</v>
      </c>
    </row>
    <row r="63" spans="1:25" ht="12" customHeight="1">
      <c r="A63" s="48"/>
      <c r="B63" s="1338" t="s">
        <v>1820</v>
      </c>
      <c r="C63" s="1448" t="s">
        <v>1827</v>
      </c>
      <c r="D63" s="1873" t="s">
        <v>46</v>
      </c>
      <c r="E63" s="3032">
        <f t="shared" si="8"/>
        <v>2143131416</v>
      </c>
      <c r="F63" s="3090">
        <f t="shared" si="9"/>
        <v>119.46479489086563</v>
      </c>
      <c r="G63" s="2322"/>
      <c r="H63" s="2511"/>
      <c r="I63" s="1776">
        <v>77933313</v>
      </c>
      <c r="J63" s="1674">
        <v>79557116</v>
      </c>
      <c r="K63" s="1674">
        <v>17667806</v>
      </c>
      <c r="L63" s="1604">
        <v>321073660</v>
      </c>
      <c r="M63" s="1674">
        <v>577113799</v>
      </c>
      <c r="N63" s="1674">
        <v>487604108</v>
      </c>
      <c r="O63" s="1604">
        <v>366073941</v>
      </c>
      <c r="P63" s="1874">
        <v>36178823</v>
      </c>
      <c r="Q63" s="1674">
        <v>179928850</v>
      </c>
      <c r="R63" s="837" t="s">
        <v>103</v>
      </c>
      <c r="S63" s="1475" t="s">
        <v>72</v>
      </c>
      <c r="T63" s="1480">
        <v>2</v>
      </c>
      <c r="U63" s="1613">
        <v>40435</v>
      </c>
      <c r="V63" s="838" t="s">
        <v>82</v>
      </c>
      <c r="W63" s="838" t="s">
        <v>870</v>
      </c>
      <c r="X63" s="851">
        <f t="shared" ca="1" si="10"/>
        <v>2.3527777777777779</v>
      </c>
      <c r="Y63" s="48"/>
    </row>
    <row r="64" spans="1:25" ht="12" customHeight="1">
      <c r="A64" s="48">
        <v>52</v>
      </c>
      <c r="B64" s="445" t="s">
        <v>47</v>
      </c>
      <c r="C64" s="279" t="s">
        <v>1807</v>
      </c>
      <c r="D64" s="2456"/>
      <c r="E64" s="3028">
        <f t="shared" si="8"/>
        <v>2087486186</v>
      </c>
      <c r="F64" s="3090">
        <f t="shared" si="9"/>
        <v>119.68361061223145</v>
      </c>
      <c r="G64" s="2320">
        <f>175+197+0+665+803+678+52+86+732</f>
        <v>3388</v>
      </c>
      <c r="H64" s="1859"/>
      <c r="I64" s="1776">
        <v>79919220</v>
      </c>
      <c r="J64" s="1604">
        <v>89233525</v>
      </c>
      <c r="K64" s="1604">
        <v>18052725</v>
      </c>
      <c r="L64" s="1604">
        <v>314234312</v>
      </c>
      <c r="M64" s="1604">
        <v>579165741</v>
      </c>
      <c r="N64" s="1604">
        <v>486587325</v>
      </c>
      <c r="O64" s="1604">
        <v>282198102</v>
      </c>
      <c r="P64" s="1860">
        <v>38224390</v>
      </c>
      <c r="Q64" s="1604">
        <v>199870846</v>
      </c>
      <c r="R64" s="928" t="s">
        <v>140</v>
      </c>
      <c r="S64" s="929" t="s">
        <v>76</v>
      </c>
      <c r="T64" s="3016">
        <v>1</v>
      </c>
      <c r="U64" s="1615">
        <v>41195</v>
      </c>
      <c r="V64" s="930" t="s">
        <v>129</v>
      </c>
      <c r="W64" s="930" t="s">
        <v>1201</v>
      </c>
      <c r="X64" s="851">
        <f t="shared" ca="1" si="10"/>
        <v>0.2722222222222222</v>
      </c>
      <c r="Y64" s="48">
        <v>52</v>
      </c>
    </row>
    <row r="65" spans="1:25" ht="12" customHeight="1">
      <c r="A65" s="48"/>
      <c r="B65" s="1924" t="s">
        <v>1820</v>
      </c>
      <c r="C65" s="1942" t="s">
        <v>862</v>
      </c>
      <c r="D65" s="1925"/>
      <c r="E65" s="3030">
        <f t="shared" si="8"/>
        <v>2124478604</v>
      </c>
      <c r="F65" s="3090">
        <f t="shared" si="9"/>
        <v>119.93796094637985</v>
      </c>
      <c r="G65" s="2325">
        <f>475+682+0+438+828+692+899+367+224</f>
        <v>4605</v>
      </c>
      <c r="H65" s="1913"/>
      <c r="I65" s="1855">
        <v>74938064</v>
      </c>
      <c r="J65" s="1856">
        <v>84331950</v>
      </c>
      <c r="K65" s="1856">
        <v>17690294</v>
      </c>
      <c r="L65" s="1856">
        <v>306221414</v>
      </c>
      <c r="M65" s="1856">
        <v>577910351</v>
      </c>
      <c r="N65" s="1856">
        <v>483272084</v>
      </c>
      <c r="O65" s="1856">
        <v>355827330</v>
      </c>
      <c r="P65" s="1915">
        <v>38952420</v>
      </c>
      <c r="Q65" s="2987">
        <v>185334697</v>
      </c>
      <c r="R65" s="2537" t="s">
        <v>107</v>
      </c>
      <c r="S65" s="2550" t="s">
        <v>72</v>
      </c>
      <c r="T65" s="1918">
        <v>1</v>
      </c>
      <c r="U65" s="1919">
        <v>38483</v>
      </c>
      <c r="V65" s="1920" t="s">
        <v>84</v>
      </c>
      <c r="W65" s="1920" t="s">
        <v>1911</v>
      </c>
      <c r="X65" s="1921">
        <f t="shared" ca="1" si="10"/>
        <v>7.6944444444444446</v>
      </c>
      <c r="Y65" s="48"/>
    </row>
    <row r="66" spans="1:25" ht="12" customHeight="1">
      <c r="A66" s="48">
        <v>54</v>
      </c>
      <c r="B66" s="3010" t="s">
        <v>1820</v>
      </c>
      <c r="C66" s="1863" t="s">
        <v>111</v>
      </c>
      <c r="D66" s="1864"/>
      <c r="E66" s="2280">
        <f t="shared" si="8"/>
        <v>2120811859</v>
      </c>
      <c r="F66" s="3090">
        <f t="shared" si="9"/>
        <v>120.2357702478694</v>
      </c>
      <c r="G66" s="2328">
        <f>320.2+366.8+0+1194.3+1174.9+981.2+1006.1+245.5+1204</f>
        <v>6493</v>
      </c>
      <c r="H66" s="1865"/>
      <c r="I66" s="1858">
        <v>77643172</v>
      </c>
      <c r="J66" s="1850">
        <v>84008979</v>
      </c>
      <c r="K66" s="1850">
        <v>16996580</v>
      </c>
      <c r="L66" s="1850">
        <v>330829476</v>
      </c>
      <c r="M66" s="1850">
        <v>576204182</v>
      </c>
      <c r="N66" s="1850">
        <v>486101118</v>
      </c>
      <c r="O66" s="1850">
        <v>292738127</v>
      </c>
      <c r="P66" s="1850">
        <v>38185525</v>
      </c>
      <c r="Q66" s="1850">
        <v>218104700</v>
      </c>
      <c r="R66" s="1866" t="s">
        <v>105</v>
      </c>
      <c r="S66" s="1867" t="s">
        <v>76</v>
      </c>
      <c r="T66" s="1868">
        <v>1</v>
      </c>
      <c r="U66" s="1869">
        <v>38389</v>
      </c>
      <c r="V66" s="1870" t="s">
        <v>84</v>
      </c>
      <c r="W66" s="1870" t="s">
        <v>112</v>
      </c>
      <c r="X66" s="1871">
        <f t="shared" ca="1" si="10"/>
        <v>7.958333333333333</v>
      </c>
      <c r="Y66" s="48">
        <v>54</v>
      </c>
    </row>
    <row r="67" spans="1:25" ht="12" customHeight="1">
      <c r="A67" s="48"/>
      <c r="B67" s="1439" t="s">
        <v>47</v>
      </c>
      <c r="C67" s="1374" t="s">
        <v>886</v>
      </c>
      <c r="D67" s="2460"/>
      <c r="E67" s="3033">
        <f t="shared" si="8"/>
        <v>2140032337</v>
      </c>
      <c r="F67" s="3090">
        <f t="shared" si="9"/>
        <v>120.34064758524838</v>
      </c>
      <c r="G67" s="2323"/>
      <c r="H67" s="3013"/>
      <c r="I67" s="1673">
        <v>76649147</v>
      </c>
      <c r="J67" s="1604">
        <v>86206329</v>
      </c>
      <c r="K67" s="1604">
        <v>17599002</v>
      </c>
      <c r="L67" s="1604">
        <v>305744176</v>
      </c>
      <c r="M67" s="1604">
        <v>576224449</v>
      </c>
      <c r="N67" s="1604">
        <v>484247497</v>
      </c>
      <c r="O67" s="1604">
        <v>361554908</v>
      </c>
      <c r="P67" s="1604">
        <v>35717780</v>
      </c>
      <c r="Q67" s="1604">
        <v>196089049</v>
      </c>
      <c r="R67" s="1380" t="s">
        <v>883</v>
      </c>
      <c r="S67" s="1383" t="s">
        <v>76</v>
      </c>
      <c r="T67" s="1875">
        <v>1</v>
      </c>
      <c r="U67" s="1616">
        <v>40540</v>
      </c>
      <c r="V67" s="1386" t="s">
        <v>82</v>
      </c>
      <c r="W67" s="1386" t="s">
        <v>885</v>
      </c>
      <c r="X67" s="851">
        <f t="shared" ca="1" si="10"/>
        <v>2.0638888888888891</v>
      </c>
      <c r="Y67" s="48"/>
    </row>
    <row r="68" spans="1:25" ht="12" customHeight="1">
      <c r="A68" s="48">
        <v>56</v>
      </c>
      <c r="B68" s="1339" t="s">
        <v>1820</v>
      </c>
      <c r="C68" s="290" t="s">
        <v>194</v>
      </c>
      <c r="D68" s="3011"/>
      <c r="E68" s="3031">
        <f t="shared" si="8"/>
        <v>2102930805</v>
      </c>
      <c r="F68" s="3090">
        <f t="shared" si="9"/>
        <v>120.47855746500895</v>
      </c>
      <c r="G68" s="3012"/>
      <c r="H68" s="3014"/>
      <c r="I68" s="1776">
        <v>81173210</v>
      </c>
      <c r="J68" s="1674">
        <v>96721221</v>
      </c>
      <c r="K68" s="1674">
        <v>17956589</v>
      </c>
      <c r="L68" s="1674">
        <v>299035553</v>
      </c>
      <c r="M68" s="1674">
        <v>586660312</v>
      </c>
      <c r="N68" s="1674">
        <v>485057345</v>
      </c>
      <c r="O68" s="1604">
        <v>313902788</v>
      </c>
      <c r="P68" s="1674">
        <v>37065923</v>
      </c>
      <c r="Q68" s="1674">
        <v>185357864</v>
      </c>
      <c r="R68" s="288" t="s">
        <v>113</v>
      </c>
      <c r="S68" s="289" t="s">
        <v>76</v>
      </c>
      <c r="T68" s="444">
        <v>1</v>
      </c>
      <c r="U68" s="3017">
        <v>38831</v>
      </c>
      <c r="V68" s="854" t="s">
        <v>82</v>
      </c>
      <c r="W68" s="854" t="s">
        <v>195</v>
      </c>
      <c r="X68" s="851">
        <f t="shared" ca="1" si="10"/>
        <v>6.7416666666666663</v>
      </c>
      <c r="Y68" s="48">
        <v>56</v>
      </c>
    </row>
    <row r="69" spans="1:25" ht="12" customHeight="1">
      <c r="A69" s="48"/>
      <c r="B69" s="1924" t="s">
        <v>1820</v>
      </c>
      <c r="C69" s="1942" t="s">
        <v>1912</v>
      </c>
      <c r="D69" s="1925"/>
      <c r="E69" s="3030">
        <f t="shared" si="8"/>
        <v>2142567568</v>
      </c>
      <c r="F69" s="3090">
        <f t="shared" si="9"/>
        <v>120.50692120565374</v>
      </c>
      <c r="G69" s="2325">
        <f>1129+1368+0+2748+4922+3963+4721+513+4381</f>
        <v>23745</v>
      </c>
      <c r="H69" s="3015"/>
      <c r="I69" s="1930">
        <v>79991868</v>
      </c>
      <c r="J69" s="1856">
        <v>84474244</v>
      </c>
      <c r="K69" s="1856">
        <v>17821552</v>
      </c>
      <c r="L69" s="1856">
        <v>300450436</v>
      </c>
      <c r="M69" s="1856">
        <v>593480152</v>
      </c>
      <c r="N69" s="1856">
        <v>490867944</v>
      </c>
      <c r="O69" s="1856">
        <v>339585040</v>
      </c>
      <c r="P69" s="1856">
        <v>36208420</v>
      </c>
      <c r="Q69" s="1856">
        <v>199687912</v>
      </c>
      <c r="R69" s="1916" t="s">
        <v>71</v>
      </c>
      <c r="S69" s="1917" t="s">
        <v>76</v>
      </c>
      <c r="T69" s="1918">
        <v>1</v>
      </c>
      <c r="U69" s="1919">
        <v>36960</v>
      </c>
      <c r="V69" s="1920" t="s">
        <v>73</v>
      </c>
      <c r="W69" s="1920" t="s">
        <v>1044</v>
      </c>
      <c r="X69" s="1921">
        <f t="shared" ca="1" si="10"/>
        <v>11.863888888888889</v>
      </c>
      <c r="Y69" s="48"/>
    </row>
    <row r="70" spans="1:25" ht="12" customHeight="1">
      <c r="A70" s="48">
        <v>58</v>
      </c>
      <c r="B70" s="1862" t="s">
        <v>47</v>
      </c>
      <c r="C70" s="1950" t="s">
        <v>148</v>
      </c>
      <c r="D70" s="1864"/>
      <c r="E70" s="2280">
        <f t="shared" si="8"/>
        <v>2085693058</v>
      </c>
      <c r="F70" s="3090">
        <f t="shared" si="9"/>
        <v>120.61966364967948</v>
      </c>
      <c r="G70" s="2319"/>
      <c r="H70" s="1865"/>
      <c r="I70" s="1849">
        <v>91199429</v>
      </c>
      <c r="J70" s="1857">
        <v>98816831</v>
      </c>
      <c r="K70" s="1857">
        <v>16992217</v>
      </c>
      <c r="L70" s="1857">
        <v>293705230</v>
      </c>
      <c r="M70" s="1857">
        <v>582751906</v>
      </c>
      <c r="N70" s="1857">
        <v>485502585</v>
      </c>
      <c r="O70" s="1850">
        <v>306869116</v>
      </c>
      <c r="P70" s="1857">
        <v>38309760</v>
      </c>
      <c r="Q70" s="1857">
        <v>171545984</v>
      </c>
      <c r="R70" s="1866" t="s">
        <v>147</v>
      </c>
      <c r="S70" s="1867" t="s">
        <v>76</v>
      </c>
      <c r="T70" s="1868">
        <v>1</v>
      </c>
      <c r="U70" s="1869">
        <v>39629</v>
      </c>
      <c r="V70" s="1870" t="s">
        <v>84</v>
      </c>
      <c r="W70" s="1870" t="s">
        <v>1037</v>
      </c>
      <c r="X70" s="1871">
        <f t="shared" ca="1" si="10"/>
        <v>4.5583333333333336</v>
      </c>
      <c r="Y70" s="48">
        <v>58</v>
      </c>
    </row>
    <row r="71" spans="1:25" ht="12" customHeight="1">
      <c r="A71" s="48"/>
      <c r="B71" s="1339" t="s">
        <v>1820</v>
      </c>
      <c r="C71" s="1449" t="s">
        <v>805</v>
      </c>
      <c r="D71" s="1873" t="s">
        <v>46</v>
      </c>
      <c r="E71" s="3031">
        <f t="shared" ref="E71:E123" si="11">SUM(I71:Q71)</f>
        <v>2168499814</v>
      </c>
      <c r="F71" s="3090">
        <f t="shared" ref="F71:F123" si="12">SUM(I71/I$11,J71/J$11,K71/K$11,L71/L$11,M71/M$11,N71/N$11,O71/O$11,P71/P$11,Q71/Q$11)/9*100</f>
        <v>121.01666882163573</v>
      </c>
      <c r="G71" s="2326"/>
      <c r="H71" s="1877"/>
      <c r="I71" s="1776">
        <v>78027086</v>
      </c>
      <c r="J71" s="1674">
        <v>79677217</v>
      </c>
      <c r="K71" s="1674">
        <v>17656193</v>
      </c>
      <c r="L71" s="1604">
        <v>321285749</v>
      </c>
      <c r="M71" s="1674">
        <v>581613011</v>
      </c>
      <c r="N71" s="1604">
        <v>490546726</v>
      </c>
      <c r="O71" s="1604">
        <v>365718702</v>
      </c>
      <c r="P71" s="1674">
        <v>36294214</v>
      </c>
      <c r="Q71" s="1674">
        <v>197680916</v>
      </c>
      <c r="R71" s="288" t="s">
        <v>103</v>
      </c>
      <c r="S71" s="289" t="s">
        <v>76</v>
      </c>
      <c r="T71" s="444">
        <v>1</v>
      </c>
      <c r="U71" s="1614">
        <v>39190</v>
      </c>
      <c r="V71" s="854" t="s">
        <v>82</v>
      </c>
      <c r="W71" s="854" t="s">
        <v>158</v>
      </c>
      <c r="X71" s="851">
        <f t="shared" ref="X71:X124" ca="1" si="13">YEARFRAC(U71,X$6)</f>
        <v>5.7583333333333337</v>
      </c>
      <c r="Y71" s="48"/>
    </row>
    <row r="72" spans="1:25" ht="12" customHeight="1">
      <c r="A72" s="48">
        <v>60</v>
      </c>
      <c r="B72" s="434" t="s">
        <v>47</v>
      </c>
      <c r="C72" s="1450" t="s">
        <v>177</v>
      </c>
      <c r="D72" s="435"/>
      <c r="E72" s="3028">
        <f t="shared" si="11"/>
        <v>2094907157</v>
      </c>
      <c r="F72" s="3090">
        <f t="shared" si="12"/>
        <v>121.27333543875945</v>
      </c>
      <c r="G72" s="2326"/>
      <c r="H72" s="1877"/>
      <c r="I72" s="1776">
        <v>90025768</v>
      </c>
      <c r="J72" s="1674">
        <v>97991972</v>
      </c>
      <c r="K72" s="1674">
        <v>17195262</v>
      </c>
      <c r="L72" s="1674">
        <v>297266236</v>
      </c>
      <c r="M72" s="1674">
        <v>583452991</v>
      </c>
      <c r="N72" s="1674">
        <v>483739655</v>
      </c>
      <c r="O72" s="1604">
        <v>300975553</v>
      </c>
      <c r="P72" s="1674">
        <v>38031300</v>
      </c>
      <c r="Q72" s="1674">
        <v>186228420</v>
      </c>
      <c r="R72" s="288" t="s">
        <v>147</v>
      </c>
      <c r="S72" s="289" t="s">
        <v>76</v>
      </c>
      <c r="T72" s="444">
        <v>1</v>
      </c>
      <c r="U72" s="1610">
        <v>39629</v>
      </c>
      <c r="V72" s="432" t="s">
        <v>84</v>
      </c>
      <c r="W72" s="432" t="s">
        <v>1037</v>
      </c>
      <c r="X72" s="851">
        <f t="shared" ca="1" si="13"/>
        <v>4.5583333333333336</v>
      </c>
      <c r="Y72" s="48">
        <v>60</v>
      </c>
    </row>
    <row r="73" spans="1:25" ht="12" customHeight="1">
      <c r="A73" s="48"/>
      <c r="B73" s="1926" t="s">
        <v>1820</v>
      </c>
      <c r="C73" s="1927" t="s">
        <v>1010</v>
      </c>
      <c r="D73" s="2458" t="s">
        <v>46</v>
      </c>
      <c r="E73" s="3034">
        <f t="shared" si="11"/>
        <v>2171789631</v>
      </c>
      <c r="F73" s="3090">
        <f t="shared" si="12"/>
        <v>121.36981980480483</v>
      </c>
      <c r="G73" s="2327"/>
      <c r="H73" s="1929"/>
      <c r="I73" s="1930">
        <v>78019145</v>
      </c>
      <c r="J73" s="1914">
        <v>80113030</v>
      </c>
      <c r="K73" s="1914">
        <v>17656193</v>
      </c>
      <c r="L73" s="1914">
        <v>322416806</v>
      </c>
      <c r="M73" s="1914">
        <v>581646905</v>
      </c>
      <c r="N73" s="1914">
        <v>490407435</v>
      </c>
      <c r="O73" s="1856">
        <v>363255408</v>
      </c>
      <c r="P73" s="1914">
        <v>36405718</v>
      </c>
      <c r="Q73" s="1914">
        <v>201868991</v>
      </c>
      <c r="R73" s="1931" t="s">
        <v>103</v>
      </c>
      <c r="S73" s="1932" t="s">
        <v>76</v>
      </c>
      <c r="T73" s="1933">
        <v>2</v>
      </c>
      <c r="U73" s="1934">
        <v>39379</v>
      </c>
      <c r="V73" s="1935" t="s">
        <v>82</v>
      </c>
      <c r="W73" s="1935" t="s">
        <v>162</v>
      </c>
      <c r="X73" s="1921">
        <f t="shared" ca="1" si="13"/>
        <v>5.2416666666666663</v>
      </c>
      <c r="Y73" s="48"/>
    </row>
    <row r="74" spans="1:25" ht="12" customHeight="1">
      <c r="A74" s="48">
        <v>62</v>
      </c>
      <c r="B74" s="2409" t="s">
        <v>1820</v>
      </c>
      <c r="C74" s="1863" t="s">
        <v>1784</v>
      </c>
      <c r="D74" s="2459"/>
      <c r="E74" s="2280">
        <f t="shared" si="11"/>
        <v>2152409682</v>
      </c>
      <c r="F74" s="3090">
        <f t="shared" si="12"/>
        <v>121.52353848102059</v>
      </c>
      <c r="G74" s="2328">
        <f>159+205+0+310+330+241+566+151+260</f>
        <v>2222</v>
      </c>
      <c r="H74" s="1949"/>
      <c r="I74" s="1858">
        <v>78583817</v>
      </c>
      <c r="J74" s="1850">
        <v>82645296</v>
      </c>
      <c r="K74" s="1850">
        <v>18487759</v>
      </c>
      <c r="L74" s="1850">
        <v>308482141</v>
      </c>
      <c r="M74" s="1850">
        <v>577347120</v>
      </c>
      <c r="N74" s="1850">
        <v>487529751</v>
      </c>
      <c r="O74" s="1850">
        <v>366031819</v>
      </c>
      <c r="P74" s="1850">
        <v>36829715</v>
      </c>
      <c r="Q74" s="1850">
        <v>196472264</v>
      </c>
      <c r="R74" s="1866" t="s">
        <v>103</v>
      </c>
      <c r="S74" s="2549" t="s">
        <v>76</v>
      </c>
      <c r="T74" s="1868">
        <v>2</v>
      </c>
      <c r="U74" s="1869">
        <v>41176</v>
      </c>
      <c r="V74" s="1870" t="s">
        <v>89</v>
      </c>
      <c r="W74" s="1870" t="s">
        <v>1785</v>
      </c>
      <c r="X74" s="1871">
        <f t="shared" ca="1" si="13"/>
        <v>0.32500000000000001</v>
      </c>
      <c r="Y74" s="48">
        <v>62</v>
      </c>
    </row>
    <row r="75" spans="1:25" ht="12" customHeight="1">
      <c r="A75" s="48"/>
      <c r="B75" s="434" t="s">
        <v>47</v>
      </c>
      <c r="C75" s="279" t="s">
        <v>1031</v>
      </c>
      <c r="D75" s="2462"/>
      <c r="E75" s="3028">
        <f t="shared" si="11"/>
        <v>2119529270</v>
      </c>
      <c r="F75" s="3090">
        <f t="shared" si="12"/>
        <v>121.67390636112086</v>
      </c>
      <c r="G75" s="2318"/>
      <c r="H75" s="1698"/>
      <c r="I75" s="1673">
        <v>84924383</v>
      </c>
      <c r="J75" s="1604">
        <v>101960423</v>
      </c>
      <c r="K75" s="1604">
        <v>17934966</v>
      </c>
      <c r="L75" s="1604">
        <v>293867872</v>
      </c>
      <c r="M75" s="1604">
        <v>587588278</v>
      </c>
      <c r="N75" s="1604">
        <v>489455649</v>
      </c>
      <c r="O75" s="1604">
        <v>331538624</v>
      </c>
      <c r="P75" s="1604">
        <v>36285820</v>
      </c>
      <c r="Q75" s="1604">
        <v>175973255</v>
      </c>
      <c r="R75" s="277" t="s">
        <v>196</v>
      </c>
      <c r="S75" s="278" t="s">
        <v>76</v>
      </c>
      <c r="T75" s="431">
        <v>1</v>
      </c>
      <c r="U75" s="1610">
        <v>38808</v>
      </c>
      <c r="V75" s="432" t="s">
        <v>82</v>
      </c>
      <c r="W75" s="432" t="s">
        <v>1041</v>
      </c>
      <c r="X75" s="851">
        <f t="shared" ca="1" si="13"/>
        <v>6.8055555555555554</v>
      </c>
      <c r="Y75" s="48"/>
    </row>
    <row r="76" spans="1:25" ht="12" customHeight="1">
      <c r="A76" s="48">
        <v>64</v>
      </c>
      <c r="B76" s="1340" t="s">
        <v>1820</v>
      </c>
      <c r="C76" s="1882" t="s">
        <v>1233</v>
      </c>
      <c r="D76" s="1881"/>
      <c r="E76" s="3035">
        <f t="shared" si="11"/>
        <v>2174539371</v>
      </c>
      <c r="F76" s="3090">
        <f t="shared" si="12"/>
        <v>121.69196521570684</v>
      </c>
      <c r="G76" s="2329"/>
      <c r="H76" s="1880"/>
      <c r="I76" s="1776">
        <v>78031752</v>
      </c>
      <c r="J76" s="1674">
        <v>80295152</v>
      </c>
      <c r="K76" s="1674">
        <v>17656869</v>
      </c>
      <c r="L76" s="1674">
        <v>321375512</v>
      </c>
      <c r="M76" s="1674">
        <v>581634110</v>
      </c>
      <c r="N76" s="1674">
        <v>489936161</v>
      </c>
      <c r="O76" s="1604">
        <v>365813900</v>
      </c>
      <c r="P76" s="1674">
        <v>36820961</v>
      </c>
      <c r="Q76" s="1710">
        <v>202974954</v>
      </c>
      <c r="R76" s="928" t="s">
        <v>103</v>
      </c>
      <c r="S76" s="929" t="s">
        <v>76</v>
      </c>
      <c r="T76" s="1879">
        <v>2</v>
      </c>
      <c r="U76" s="1615">
        <v>40974</v>
      </c>
      <c r="V76" s="930" t="s">
        <v>89</v>
      </c>
      <c r="W76" s="930" t="s">
        <v>1234</v>
      </c>
      <c r="X76" s="851">
        <f t="shared" ca="1" si="13"/>
        <v>0.875</v>
      </c>
      <c r="Y76" s="48">
        <v>64</v>
      </c>
    </row>
    <row r="77" spans="1:25" ht="12" customHeight="1">
      <c r="A77" s="48"/>
      <c r="B77" s="1926" t="s">
        <v>1820</v>
      </c>
      <c r="C77" s="2451" t="s">
        <v>1835</v>
      </c>
      <c r="D77" s="1928"/>
      <c r="E77" s="3036">
        <f t="shared" si="11"/>
        <v>2110725859</v>
      </c>
      <c r="F77" s="3090">
        <f t="shared" si="12"/>
        <v>121.68991492423203</v>
      </c>
      <c r="G77" s="2330">
        <f>59+94+0+321+409+355+49+42+345</f>
        <v>1674</v>
      </c>
      <c r="H77" s="1943"/>
      <c r="I77" s="1930">
        <v>80417465</v>
      </c>
      <c r="J77" s="1856">
        <v>88961837</v>
      </c>
      <c r="K77" s="1856">
        <v>18823452</v>
      </c>
      <c r="L77" s="1856">
        <v>319268847</v>
      </c>
      <c r="M77" s="1856">
        <v>578923326</v>
      </c>
      <c r="N77" s="1856">
        <v>486803989</v>
      </c>
      <c r="O77" s="1856">
        <v>288721818</v>
      </c>
      <c r="P77" s="1856">
        <v>38740447</v>
      </c>
      <c r="Q77" s="2150">
        <v>210064678</v>
      </c>
      <c r="R77" s="1944" t="s">
        <v>140</v>
      </c>
      <c r="S77" s="1945" t="s">
        <v>76</v>
      </c>
      <c r="T77" s="1946">
        <v>1</v>
      </c>
      <c r="U77" s="1947">
        <v>41246</v>
      </c>
      <c r="V77" s="1948" t="s">
        <v>129</v>
      </c>
      <c r="W77" s="1948" t="s">
        <v>1201</v>
      </c>
      <c r="X77" s="1921">
        <f t="shared" ca="1" si="13"/>
        <v>0.13333333333333333</v>
      </c>
      <c r="Y77" s="48"/>
    </row>
    <row r="78" spans="1:25" ht="12" customHeight="1">
      <c r="A78" s="48">
        <v>66</v>
      </c>
      <c r="B78" s="1862" t="s">
        <v>47</v>
      </c>
      <c r="C78" s="1863" t="s">
        <v>1013</v>
      </c>
      <c r="D78" s="1864"/>
      <c r="E78" s="2280">
        <f t="shared" si="11"/>
        <v>2128217243</v>
      </c>
      <c r="F78" s="3090">
        <f t="shared" si="12"/>
        <v>121.74618124978957</v>
      </c>
      <c r="G78" s="2328"/>
      <c r="H78" s="1922"/>
      <c r="I78" s="1858">
        <v>86118936</v>
      </c>
      <c r="J78" s="1850">
        <v>96927521</v>
      </c>
      <c r="K78" s="1850">
        <v>17934897</v>
      </c>
      <c r="L78" s="1850">
        <v>296677240</v>
      </c>
      <c r="M78" s="1850">
        <v>590076036</v>
      </c>
      <c r="N78" s="1850">
        <v>491288116</v>
      </c>
      <c r="O78" s="1850">
        <v>336818689</v>
      </c>
      <c r="P78" s="1850">
        <v>37054168</v>
      </c>
      <c r="Q78" s="1850">
        <v>175321640</v>
      </c>
      <c r="R78" s="1866" t="s">
        <v>244</v>
      </c>
      <c r="S78" s="1867" t="s">
        <v>76</v>
      </c>
      <c r="T78" s="1868">
        <v>1</v>
      </c>
      <c r="U78" s="1869">
        <v>39791</v>
      </c>
      <c r="V78" s="1870" t="s">
        <v>82</v>
      </c>
      <c r="W78" s="1870" t="s">
        <v>869</v>
      </c>
      <c r="X78" s="1871">
        <f t="shared" ca="1" si="13"/>
        <v>4.1166666666666663</v>
      </c>
      <c r="Y78" s="48">
        <v>66</v>
      </c>
    </row>
    <row r="79" spans="1:25" ht="12" customHeight="1">
      <c r="A79" s="48"/>
      <c r="B79" s="445" t="s">
        <v>47</v>
      </c>
      <c r="C79" s="1882" t="s">
        <v>1808</v>
      </c>
      <c r="D79" s="2465"/>
      <c r="E79" s="3035">
        <f t="shared" si="11"/>
        <v>2143869987</v>
      </c>
      <c r="F79" s="3090">
        <f t="shared" si="12"/>
        <v>121.80613839837515</v>
      </c>
      <c r="G79" s="2331">
        <f>779+1308+0+2525+951+663+1027+1644+538</f>
        <v>9435</v>
      </c>
      <c r="H79" s="1878"/>
      <c r="I79" s="1776">
        <v>80265492</v>
      </c>
      <c r="J79" s="1674">
        <v>88884166</v>
      </c>
      <c r="K79" s="1674">
        <v>17780871</v>
      </c>
      <c r="L79" s="1674">
        <v>310270236</v>
      </c>
      <c r="M79" s="1674">
        <v>573257031</v>
      </c>
      <c r="N79" s="1674">
        <v>485522129</v>
      </c>
      <c r="O79" s="1604">
        <v>357793035</v>
      </c>
      <c r="P79" s="1674">
        <v>37325895</v>
      </c>
      <c r="Q79" s="1674">
        <v>192771132</v>
      </c>
      <c r="R79" s="928" t="s">
        <v>858</v>
      </c>
      <c r="S79" s="1883" t="s">
        <v>72</v>
      </c>
      <c r="T79" s="1879">
        <v>8</v>
      </c>
      <c r="U79" s="1615">
        <v>40892</v>
      </c>
      <c r="V79" s="930" t="s">
        <v>859</v>
      </c>
      <c r="W79" s="930" t="s">
        <v>1171</v>
      </c>
      <c r="X79" s="851">
        <f t="shared" ca="1" si="13"/>
        <v>1.1000000000000001</v>
      </c>
      <c r="Y79" s="48"/>
    </row>
    <row r="80" spans="1:25" ht="12" customHeight="1">
      <c r="A80" s="48">
        <v>68</v>
      </c>
      <c r="B80" s="1369" t="s">
        <v>47</v>
      </c>
      <c r="C80" s="1374" t="s">
        <v>890</v>
      </c>
      <c r="D80" s="2464"/>
      <c r="E80" s="3031">
        <f t="shared" si="11"/>
        <v>2144235809</v>
      </c>
      <c r="F80" s="3090">
        <f t="shared" si="12"/>
        <v>121.83785770267654</v>
      </c>
      <c r="G80" s="2320">
        <f>584+962+0+2345+614+426+731+1495+493</f>
        <v>7650</v>
      </c>
      <c r="H80" s="1698"/>
      <c r="I80" s="1776">
        <v>80389644</v>
      </c>
      <c r="J80" s="1604">
        <v>88961163</v>
      </c>
      <c r="K80" s="1674">
        <v>17765773</v>
      </c>
      <c r="L80" s="1604">
        <v>310356437</v>
      </c>
      <c r="M80" s="1674">
        <v>573282323</v>
      </c>
      <c r="N80" s="1604">
        <v>485550450</v>
      </c>
      <c r="O80" s="1604">
        <v>357894064</v>
      </c>
      <c r="P80" s="1674">
        <v>37338554</v>
      </c>
      <c r="Q80" s="1674">
        <v>192697401</v>
      </c>
      <c r="R80" s="837" t="s">
        <v>858</v>
      </c>
      <c r="S80" s="280" t="s">
        <v>72</v>
      </c>
      <c r="T80" s="436">
        <v>8</v>
      </c>
      <c r="U80" s="1613">
        <v>40553</v>
      </c>
      <c r="V80" s="838" t="s">
        <v>859</v>
      </c>
      <c r="W80" s="838" t="s">
        <v>1171</v>
      </c>
      <c r="X80" s="851">
        <f t="shared" ca="1" si="13"/>
        <v>2.0305555555555554</v>
      </c>
      <c r="Y80" s="48">
        <v>68</v>
      </c>
    </row>
    <row r="81" spans="1:25" ht="12" customHeight="1">
      <c r="A81" s="48"/>
      <c r="B81" s="2410" t="s">
        <v>47</v>
      </c>
      <c r="C81" s="2429" t="s">
        <v>884</v>
      </c>
      <c r="D81" s="2461"/>
      <c r="E81" s="3037">
        <f t="shared" si="11"/>
        <v>2167675003</v>
      </c>
      <c r="F81" s="3090">
        <f t="shared" si="12"/>
        <v>122.05702035569492</v>
      </c>
      <c r="G81" s="2492"/>
      <c r="H81" s="2513"/>
      <c r="I81" s="1855">
        <v>78248941</v>
      </c>
      <c r="J81" s="1856">
        <v>88578383</v>
      </c>
      <c r="K81" s="1856">
        <v>17662699</v>
      </c>
      <c r="L81" s="1856">
        <v>311681734</v>
      </c>
      <c r="M81" s="1856">
        <v>581554823</v>
      </c>
      <c r="N81" s="1856">
        <v>489877140</v>
      </c>
      <c r="O81" s="1856">
        <v>366175283</v>
      </c>
      <c r="P81" s="1856">
        <v>36216616</v>
      </c>
      <c r="Q81" s="1856">
        <v>197679384</v>
      </c>
      <c r="R81" s="2538" t="s">
        <v>883</v>
      </c>
      <c r="S81" s="2551" t="s">
        <v>76</v>
      </c>
      <c r="T81" s="2564">
        <v>2</v>
      </c>
      <c r="U81" s="2577">
        <v>40500</v>
      </c>
      <c r="V81" s="2589" t="s">
        <v>82</v>
      </c>
      <c r="W81" s="2589" t="s">
        <v>882</v>
      </c>
      <c r="X81" s="1921">
        <f t="shared" ca="1" si="13"/>
        <v>2.1749999999999998</v>
      </c>
      <c r="Y81" s="48"/>
    </row>
    <row r="82" spans="1:25" ht="12" customHeight="1">
      <c r="A82" s="48">
        <v>70</v>
      </c>
      <c r="B82" s="2409" t="s">
        <v>1820</v>
      </c>
      <c r="C82" s="1863" t="s">
        <v>903</v>
      </c>
      <c r="D82" s="2457"/>
      <c r="E82" s="3038">
        <f t="shared" si="11"/>
        <v>2177626754</v>
      </c>
      <c r="F82" s="3090">
        <f t="shared" si="12"/>
        <v>122.10985335692</v>
      </c>
      <c r="G82" s="2491">
        <f>83+209+0+451+124+62+125+638+190</f>
        <v>1882</v>
      </c>
      <c r="H82" s="2510"/>
      <c r="I82" s="1858">
        <v>78322046</v>
      </c>
      <c r="J82" s="1850">
        <v>81921732</v>
      </c>
      <c r="K82" s="1850">
        <v>17656834</v>
      </c>
      <c r="L82" s="1850">
        <v>322423957</v>
      </c>
      <c r="M82" s="1850">
        <v>581732635</v>
      </c>
      <c r="N82" s="1850">
        <v>489874761</v>
      </c>
      <c r="O82" s="1850">
        <v>365718716</v>
      </c>
      <c r="P82" s="1850">
        <v>37001167</v>
      </c>
      <c r="Q82" s="1850">
        <v>202974906</v>
      </c>
      <c r="R82" s="1937" t="s">
        <v>901</v>
      </c>
      <c r="S82" s="1938" t="s">
        <v>76</v>
      </c>
      <c r="T82" s="1939">
        <v>1</v>
      </c>
      <c r="U82" s="1940">
        <v>40808</v>
      </c>
      <c r="V82" s="1941" t="s">
        <v>86</v>
      </c>
      <c r="W82" s="1941" t="s">
        <v>902</v>
      </c>
      <c r="X82" s="1871">
        <f t="shared" ca="1" si="13"/>
        <v>1.3305555555555555</v>
      </c>
      <c r="Y82" s="48">
        <v>70</v>
      </c>
    </row>
    <row r="83" spans="1:25" ht="12" customHeight="1">
      <c r="A83" s="48"/>
      <c r="B83" s="1884" t="s">
        <v>1820</v>
      </c>
      <c r="C83" s="299" t="s">
        <v>1277</v>
      </c>
      <c r="D83" s="1885"/>
      <c r="E83" s="3039">
        <f t="shared" si="11"/>
        <v>2135479780</v>
      </c>
      <c r="F83" s="3090">
        <f t="shared" si="12"/>
        <v>122.17038800402575</v>
      </c>
      <c r="G83" s="2332">
        <f>108+163+0+495+826+661+83+126+265</f>
        <v>2727</v>
      </c>
      <c r="H83" s="2512">
        <f>86+114+0+409+662+31+75+248</f>
        <v>1625</v>
      </c>
      <c r="I83" s="1673">
        <v>85007616</v>
      </c>
      <c r="J83" s="1604">
        <v>92959368</v>
      </c>
      <c r="K83" s="1604">
        <v>17752694</v>
      </c>
      <c r="L83" s="1604">
        <v>305582289</v>
      </c>
      <c r="M83" s="1604">
        <v>592737914</v>
      </c>
      <c r="N83" s="1604">
        <v>490590092</v>
      </c>
      <c r="O83" s="1604">
        <v>319664733</v>
      </c>
      <c r="P83" s="1604">
        <v>38238952</v>
      </c>
      <c r="Q83" s="1604">
        <v>192946122</v>
      </c>
      <c r="R83" s="1886" t="s">
        <v>168</v>
      </c>
      <c r="S83" s="1887" t="s">
        <v>72</v>
      </c>
      <c r="T83" s="1888">
        <v>1</v>
      </c>
      <c r="U83" s="1889">
        <v>41069</v>
      </c>
      <c r="V83" s="1890" t="s">
        <v>82</v>
      </c>
      <c r="W83" s="1890" t="s">
        <v>1206</v>
      </c>
      <c r="X83" s="1891">
        <f t="shared" ca="1" si="13"/>
        <v>0.6166666666666667</v>
      </c>
      <c r="Y83" s="48"/>
    </row>
    <row r="84" spans="1:25" ht="12" customHeight="1">
      <c r="A84" s="48">
        <v>72</v>
      </c>
      <c r="B84" s="448" t="s">
        <v>47</v>
      </c>
      <c r="C84" s="299" t="s">
        <v>1799</v>
      </c>
      <c r="D84" s="1465"/>
      <c r="E84" s="3040">
        <f t="shared" si="11"/>
        <v>2109610509</v>
      </c>
      <c r="F84" s="3090">
        <f t="shared" si="12"/>
        <v>122.22682634237856</v>
      </c>
      <c r="G84" s="2333">
        <f>80.2+105.5+0+227.41+286.89+259.31+273.17+49.17+541.56</f>
        <v>1823.21</v>
      </c>
      <c r="H84" s="1707"/>
      <c r="I84" s="1673">
        <v>83182412</v>
      </c>
      <c r="J84" s="1604">
        <v>97303748</v>
      </c>
      <c r="K84" s="1604">
        <v>18417434</v>
      </c>
      <c r="L84" s="1604">
        <v>304275096</v>
      </c>
      <c r="M84" s="1604">
        <v>582698288</v>
      </c>
      <c r="N84" s="1604">
        <v>485944367</v>
      </c>
      <c r="O84" s="1604">
        <v>304403688</v>
      </c>
      <c r="P84" s="1604">
        <v>38774613</v>
      </c>
      <c r="Q84" s="1860">
        <v>194610863</v>
      </c>
      <c r="R84" s="1381" t="s">
        <v>119</v>
      </c>
      <c r="S84" s="292" t="s">
        <v>72</v>
      </c>
      <c r="T84" s="461">
        <v>1</v>
      </c>
      <c r="U84" s="1893">
        <v>39518</v>
      </c>
      <c r="V84" s="457" t="s">
        <v>80</v>
      </c>
      <c r="W84" s="457" t="s">
        <v>120</v>
      </c>
      <c r="X84" s="849">
        <f t="shared" ca="1" si="13"/>
        <v>4.8611111111111107</v>
      </c>
      <c r="Y84" s="48">
        <v>72</v>
      </c>
    </row>
    <row r="85" spans="1:25" ht="12" customHeight="1">
      <c r="A85" s="48"/>
      <c r="B85" s="2412" t="s">
        <v>1820</v>
      </c>
      <c r="C85" s="1975" t="s">
        <v>1011</v>
      </c>
      <c r="D85" s="2463" t="s">
        <v>46</v>
      </c>
      <c r="E85" s="3041">
        <f t="shared" si="11"/>
        <v>2182343299</v>
      </c>
      <c r="F85" s="3090">
        <f t="shared" si="12"/>
        <v>122.32502925463071</v>
      </c>
      <c r="G85" s="2337"/>
      <c r="H85" s="1976"/>
      <c r="I85" s="1930">
        <v>78213329</v>
      </c>
      <c r="J85" s="1914">
        <v>80941003</v>
      </c>
      <c r="K85" s="1914">
        <v>17717980</v>
      </c>
      <c r="L85" s="1914">
        <v>324322226</v>
      </c>
      <c r="M85" s="1914">
        <v>582005621</v>
      </c>
      <c r="N85" s="1914">
        <v>490229852</v>
      </c>
      <c r="O85" s="1856">
        <v>365666797</v>
      </c>
      <c r="P85" s="1914">
        <v>37050037</v>
      </c>
      <c r="Q85" s="1914">
        <v>206196454</v>
      </c>
      <c r="R85" s="1977" t="s">
        <v>103</v>
      </c>
      <c r="S85" s="1978" t="s">
        <v>76</v>
      </c>
      <c r="T85" s="2599">
        <v>2</v>
      </c>
      <c r="U85" s="1980">
        <v>39379</v>
      </c>
      <c r="V85" s="1981" t="s">
        <v>82</v>
      </c>
      <c r="W85" s="1981" t="s">
        <v>170</v>
      </c>
      <c r="X85" s="1973">
        <f t="shared" ca="1" si="13"/>
        <v>5.2416666666666663</v>
      </c>
      <c r="Y85" s="48"/>
    </row>
    <row r="86" spans="1:25" ht="12" customHeight="1">
      <c r="A86" s="48">
        <v>74</v>
      </c>
      <c r="B86" s="856" t="s">
        <v>47</v>
      </c>
      <c r="C86" s="299" t="s">
        <v>1004</v>
      </c>
      <c r="D86" s="1896"/>
      <c r="E86" s="3040">
        <f t="shared" si="11"/>
        <v>2115825903</v>
      </c>
      <c r="F86" s="3090">
        <f t="shared" si="12"/>
        <v>122.67233954078674</v>
      </c>
      <c r="G86" s="2336">
        <f>162.3+459.2+0+459.4+630.2+272.5+94.1+687.9+582.1</f>
        <v>3347.7000000000003</v>
      </c>
      <c r="H86" s="2514"/>
      <c r="I86" s="1776">
        <v>91863472</v>
      </c>
      <c r="J86" s="1674">
        <v>107096473</v>
      </c>
      <c r="K86" s="1674">
        <v>17232403</v>
      </c>
      <c r="L86" s="1674">
        <v>296483301</v>
      </c>
      <c r="M86" s="1674">
        <v>589660415</v>
      </c>
      <c r="N86" s="1674">
        <v>489144884</v>
      </c>
      <c r="O86" s="1604">
        <v>319356247</v>
      </c>
      <c r="P86" s="1674">
        <v>37819153</v>
      </c>
      <c r="Q86" s="1874">
        <v>167169555</v>
      </c>
      <c r="R86" s="291" t="s">
        <v>211</v>
      </c>
      <c r="S86" s="308" t="s">
        <v>76</v>
      </c>
      <c r="T86" s="908">
        <v>1</v>
      </c>
      <c r="U86" s="2578">
        <v>40840</v>
      </c>
      <c r="V86" s="447" t="s">
        <v>89</v>
      </c>
      <c r="W86" s="447" t="s">
        <v>212</v>
      </c>
      <c r="X86" s="849">
        <f t="shared" ca="1" si="13"/>
        <v>1.2416666666666667</v>
      </c>
      <c r="Y86" s="48">
        <v>74</v>
      </c>
    </row>
    <row r="87" spans="1:25" ht="12" customHeight="1">
      <c r="A87" s="48"/>
      <c r="B87" s="1951" t="s">
        <v>47</v>
      </c>
      <c r="C87" s="1968" t="s">
        <v>126</v>
      </c>
      <c r="D87" s="1953" t="s">
        <v>46</v>
      </c>
      <c r="E87" s="3042">
        <f t="shared" si="11"/>
        <v>2137144507</v>
      </c>
      <c r="F87" s="3090">
        <f t="shared" si="12"/>
        <v>122.64441867018574</v>
      </c>
      <c r="G87" s="2334"/>
      <c r="H87" s="1954"/>
      <c r="I87" s="1855">
        <v>82532962</v>
      </c>
      <c r="J87" s="1856">
        <v>90121506</v>
      </c>
      <c r="K87" s="1856">
        <v>18433668</v>
      </c>
      <c r="L87" s="1856">
        <v>315898262</v>
      </c>
      <c r="M87" s="1856">
        <v>578386352</v>
      </c>
      <c r="N87" s="1856">
        <v>485829975</v>
      </c>
      <c r="O87" s="1856">
        <v>323753445</v>
      </c>
      <c r="P87" s="1856">
        <v>37803252</v>
      </c>
      <c r="Q87" s="1955">
        <v>204385085</v>
      </c>
      <c r="R87" s="1956" t="s">
        <v>127</v>
      </c>
      <c r="S87" s="1957" t="s">
        <v>76</v>
      </c>
      <c r="T87" s="1958">
        <v>1</v>
      </c>
      <c r="U87" s="1959">
        <v>39148</v>
      </c>
      <c r="V87" s="1960" t="s">
        <v>82</v>
      </c>
      <c r="W87" s="1960" t="s">
        <v>128</v>
      </c>
      <c r="X87" s="1961">
        <f t="shared" ca="1" si="13"/>
        <v>5.8722222222222218</v>
      </c>
      <c r="Y87" s="48"/>
    </row>
    <row r="88" spans="1:25" ht="12" customHeight="1">
      <c r="A88" s="48">
        <v>76</v>
      </c>
      <c r="B88" s="1440" t="s">
        <v>47</v>
      </c>
      <c r="C88" s="1451" t="s">
        <v>1009</v>
      </c>
      <c r="D88" s="1897"/>
      <c r="E88" s="3043">
        <f t="shared" si="11"/>
        <v>2118716023</v>
      </c>
      <c r="F88" s="3090">
        <f t="shared" si="12"/>
        <v>123.09872584690693</v>
      </c>
      <c r="G88" s="2338"/>
      <c r="H88" s="1898"/>
      <c r="I88" s="1673">
        <v>91990600</v>
      </c>
      <c r="J88" s="1604">
        <v>108069738</v>
      </c>
      <c r="K88" s="1604">
        <v>17175209</v>
      </c>
      <c r="L88" s="1604">
        <v>296964823</v>
      </c>
      <c r="M88" s="1604">
        <v>589340653</v>
      </c>
      <c r="N88" s="1604">
        <v>486960489</v>
      </c>
      <c r="O88" s="1604">
        <v>318653295</v>
      </c>
      <c r="P88" s="1604">
        <v>37884010</v>
      </c>
      <c r="Q88" s="1604">
        <v>171677206</v>
      </c>
      <c r="R88" s="300" t="s">
        <v>211</v>
      </c>
      <c r="S88" s="301" t="s">
        <v>76</v>
      </c>
      <c r="T88" s="463">
        <v>1</v>
      </c>
      <c r="U88" s="1622">
        <v>40097</v>
      </c>
      <c r="V88" s="458" t="s">
        <v>89</v>
      </c>
      <c r="W88" s="458" t="s">
        <v>212</v>
      </c>
      <c r="X88" s="849">
        <f t="shared" ca="1" si="13"/>
        <v>3.2777777777777777</v>
      </c>
      <c r="Y88" s="48">
        <v>76</v>
      </c>
    </row>
    <row r="89" spans="1:25" ht="12" customHeight="1">
      <c r="A89" s="48"/>
      <c r="B89" s="2802" t="s">
        <v>1820</v>
      </c>
      <c r="C89" s="2803" t="s">
        <v>1014</v>
      </c>
      <c r="D89" s="2804" t="s">
        <v>46</v>
      </c>
      <c r="E89" s="3041">
        <f t="shared" si="11"/>
        <v>2192941774</v>
      </c>
      <c r="F89" s="3090">
        <f t="shared" si="12"/>
        <v>123.19869086511805</v>
      </c>
      <c r="G89" s="2806"/>
      <c r="H89" s="2807"/>
      <c r="I89" s="2808">
        <v>78387490</v>
      </c>
      <c r="J89" s="2809">
        <v>81502607</v>
      </c>
      <c r="K89" s="2809">
        <v>17839402</v>
      </c>
      <c r="L89" s="2809">
        <v>326119062</v>
      </c>
      <c r="M89" s="2809">
        <v>584391484</v>
      </c>
      <c r="N89" s="2809">
        <v>489831807</v>
      </c>
      <c r="O89" s="2747">
        <v>365960743</v>
      </c>
      <c r="P89" s="2809">
        <v>37468602</v>
      </c>
      <c r="Q89" s="2809">
        <v>211440577</v>
      </c>
      <c r="R89" s="2810" t="s">
        <v>103</v>
      </c>
      <c r="S89" s="2811" t="s">
        <v>76</v>
      </c>
      <c r="T89" s="2812">
        <v>2</v>
      </c>
      <c r="U89" s="2813">
        <v>39379</v>
      </c>
      <c r="V89" s="2814" t="s">
        <v>82</v>
      </c>
      <c r="W89" s="2814" t="s">
        <v>179</v>
      </c>
      <c r="X89" s="2815">
        <f t="shared" ca="1" si="13"/>
        <v>5.2416666666666663</v>
      </c>
      <c r="Y89" s="48"/>
    </row>
    <row r="90" spans="1:25" ht="12" customHeight="1">
      <c r="A90" s="48">
        <v>78</v>
      </c>
      <c r="B90" s="1962" t="s">
        <v>47</v>
      </c>
      <c r="C90" s="2805" t="s">
        <v>150</v>
      </c>
      <c r="D90" s="1974" t="s">
        <v>46</v>
      </c>
      <c r="E90" s="3044">
        <f t="shared" si="11"/>
        <v>2142139245</v>
      </c>
      <c r="F90" s="3090">
        <f t="shared" si="12"/>
        <v>123.18706447165057</v>
      </c>
      <c r="G90" s="2816"/>
      <c r="H90" s="2817"/>
      <c r="I90" s="1858">
        <v>82759765</v>
      </c>
      <c r="J90" s="2669">
        <v>90830411</v>
      </c>
      <c r="K90" s="2669">
        <v>18442720</v>
      </c>
      <c r="L90" s="2669">
        <v>316714737</v>
      </c>
      <c r="M90" s="2669">
        <v>578438531</v>
      </c>
      <c r="N90" s="2669">
        <v>485976579</v>
      </c>
      <c r="O90" s="2669">
        <v>324451494</v>
      </c>
      <c r="P90" s="2669">
        <v>38294861</v>
      </c>
      <c r="Q90" s="2669">
        <v>206230147</v>
      </c>
      <c r="R90" s="2818" t="s">
        <v>127</v>
      </c>
      <c r="S90" s="2819" t="s">
        <v>76</v>
      </c>
      <c r="T90" s="2820">
        <v>1</v>
      </c>
      <c r="U90" s="2821">
        <v>38991</v>
      </c>
      <c r="V90" s="2822" t="s">
        <v>82</v>
      </c>
      <c r="W90" s="2822" t="s">
        <v>128</v>
      </c>
      <c r="X90" s="2823">
        <f t="shared" ca="1" si="13"/>
        <v>6.3055555555555554</v>
      </c>
      <c r="Y90" s="48">
        <v>78</v>
      </c>
    </row>
    <row r="91" spans="1:25" ht="12" customHeight="1">
      <c r="A91" s="48"/>
      <c r="B91" s="448" t="s">
        <v>47</v>
      </c>
      <c r="C91" s="1895" t="s">
        <v>1231</v>
      </c>
      <c r="D91" s="1466"/>
      <c r="E91" s="3040">
        <f t="shared" si="11"/>
        <v>2110341203</v>
      </c>
      <c r="F91" s="3090">
        <f t="shared" si="12"/>
        <v>123.23440201253868</v>
      </c>
      <c r="G91" s="2777">
        <f>926+1428+0+1893+1546+1053+4641+505+1795</f>
        <v>13787</v>
      </c>
      <c r="H91" s="2778"/>
      <c r="I91" s="2779">
        <v>93204528</v>
      </c>
      <c r="J91" s="2779">
        <v>108106941</v>
      </c>
      <c r="K91" s="2779">
        <v>16971006</v>
      </c>
      <c r="L91" s="2779">
        <v>299022344</v>
      </c>
      <c r="M91" s="2779">
        <v>588953967</v>
      </c>
      <c r="N91" s="2779">
        <v>485035191</v>
      </c>
      <c r="O91" s="2729">
        <v>303250005</v>
      </c>
      <c r="P91" s="2779">
        <v>38867037</v>
      </c>
      <c r="Q91" s="2780">
        <v>176930184</v>
      </c>
      <c r="R91" s="2781" t="s">
        <v>1232</v>
      </c>
      <c r="S91" s="2782" t="s">
        <v>76</v>
      </c>
      <c r="T91" s="2783">
        <v>1</v>
      </c>
      <c r="U91" s="2784">
        <v>38960</v>
      </c>
      <c r="V91" s="2785" t="s">
        <v>89</v>
      </c>
      <c r="W91" s="2785" t="s">
        <v>212</v>
      </c>
      <c r="X91" s="2776">
        <f t="shared" ca="1" si="13"/>
        <v>6.3916666666666666</v>
      </c>
      <c r="Y91" s="48"/>
    </row>
    <row r="92" spans="1:25" ht="12" customHeight="1">
      <c r="A92" s="48">
        <v>80</v>
      </c>
      <c r="B92" s="448" t="s">
        <v>47</v>
      </c>
      <c r="C92" s="1451" t="s">
        <v>926</v>
      </c>
      <c r="D92" s="862"/>
      <c r="E92" s="3040">
        <f t="shared" si="11"/>
        <v>2118371285</v>
      </c>
      <c r="F92" s="3090">
        <f t="shared" si="12"/>
        <v>123.34030483120735</v>
      </c>
      <c r="G92" s="2786">
        <f>47+168+0+194+219+122+27+68+91.7</f>
        <v>936.7</v>
      </c>
      <c r="H92" s="1708"/>
      <c r="I92" s="2729">
        <v>90946894</v>
      </c>
      <c r="J92" s="2729">
        <v>108172356</v>
      </c>
      <c r="K92" s="2729">
        <v>17243010</v>
      </c>
      <c r="L92" s="2729">
        <v>300897766</v>
      </c>
      <c r="M92" s="2729">
        <v>581534528</v>
      </c>
      <c r="N92" s="2729">
        <v>484920043</v>
      </c>
      <c r="O92" s="2729">
        <v>324387750</v>
      </c>
      <c r="P92" s="2729">
        <v>38202132</v>
      </c>
      <c r="Q92" s="1894">
        <v>172066806</v>
      </c>
      <c r="R92" s="2771" t="s">
        <v>839</v>
      </c>
      <c r="S92" s="2787" t="s">
        <v>72</v>
      </c>
      <c r="T92" s="2788">
        <v>4</v>
      </c>
      <c r="U92" s="2774">
        <v>40936</v>
      </c>
      <c r="V92" s="2775" t="s">
        <v>82</v>
      </c>
      <c r="W92" s="2775" t="s">
        <v>1045</v>
      </c>
      <c r="X92" s="2776">
        <f t="shared" ca="1" si="13"/>
        <v>0.98055555555555551</v>
      </c>
      <c r="Y92" s="48">
        <v>80</v>
      </c>
    </row>
    <row r="93" spans="1:25" ht="12" customHeight="1">
      <c r="A93" s="48"/>
      <c r="B93" s="2851" t="s">
        <v>47</v>
      </c>
      <c r="C93" s="2852" t="s">
        <v>169</v>
      </c>
      <c r="D93" s="2853"/>
      <c r="E93" s="3042">
        <f t="shared" si="11"/>
        <v>2117407471</v>
      </c>
      <c r="F93" s="3090">
        <f t="shared" si="12"/>
        <v>123.34226345844132</v>
      </c>
      <c r="G93" s="2824"/>
      <c r="H93" s="2825"/>
      <c r="I93" s="2746">
        <v>90236643</v>
      </c>
      <c r="J93" s="2746">
        <v>100926550</v>
      </c>
      <c r="K93" s="2746">
        <v>17860852</v>
      </c>
      <c r="L93" s="2746">
        <v>300585869</v>
      </c>
      <c r="M93" s="2746">
        <v>586909199</v>
      </c>
      <c r="N93" s="2746">
        <v>486564013</v>
      </c>
      <c r="O93" s="2746">
        <v>306978578</v>
      </c>
      <c r="P93" s="2746">
        <v>39175037</v>
      </c>
      <c r="Q93" s="2826">
        <v>188170730</v>
      </c>
      <c r="R93" s="2827" t="s">
        <v>115</v>
      </c>
      <c r="S93" s="2828" t="s">
        <v>76</v>
      </c>
      <c r="T93" s="2829">
        <v>1</v>
      </c>
      <c r="U93" s="2830">
        <v>39611</v>
      </c>
      <c r="V93" s="2831" t="s">
        <v>116</v>
      </c>
      <c r="W93" s="2831" t="s">
        <v>1195</v>
      </c>
      <c r="X93" s="2815">
        <f t="shared" ca="1" si="13"/>
        <v>4.6083333333333334</v>
      </c>
      <c r="Y93" s="48"/>
    </row>
    <row r="94" spans="1:25" ht="12" customHeight="1">
      <c r="A94" s="48">
        <v>82</v>
      </c>
      <c r="B94" s="2600" t="s">
        <v>1820</v>
      </c>
      <c r="C94" s="1983" t="s">
        <v>1205</v>
      </c>
      <c r="D94" s="2854"/>
      <c r="E94" s="3044">
        <f t="shared" si="11"/>
        <v>2144563751</v>
      </c>
      <c r="F94" s="3090">
        <f t="shared" si="12"/>
        <v>123.35904603972017</v>
      </c>
      <c r="G94" s="2832">
        <f>30+79+0+170+85+55+162+369+155</f>
        <v>1105</v>
      </c>
      <c r="H94" s="2833">
        <f>32+43+0+176+10+15+23+62+193</f>
        <v>554</v>
      </c>
      <c r="I94" s="2834">
        <v>85454807</v>
      </c>
      <c r="J94" s="2716">
        <v>93049766</v>
      </c>
      <c r="K94" s="2716">
        <v>17752595</v>
      </c>
      <c r="L94" s="2716">
        <v>308479893</v>
      </c>
      <c r="M94" s="2716">
        <v>583811875</v>
      </c>
      <c r="N94" s="2716">
        <v>487796931</v>
      </c>
      <c r="O94" s="2835">
        <v>321530609</v>
      </c>
      <c r="P94" s="2836">
        <v>38263185</v>
      </c>
      <c r="Q94" s="2836">
        <v>208424090</v>
      </c>
      <c r="R94" s="2818" t="s">
        <v>168</v>
      </c>
      <c r="S94" s="2837" t="s">
        <v>72</v>
      </c>
      <c r="T94" s="2838">
        <v>2</v>
      </c>
      <c r="U94" s="2839">
        <v>40497</v>
      </c>
      <c r="V94" s="2822" t="s">
        <v>82</v>
      </c>
      <c r="W94" s="2822" t="s">
        <v>1212</v>
      </c>
      <c r="X94" s="2823">
        <f t="shared" ca="1" si="13"/>
        <v>2.1833333333333331</v>
      </c>
      <c r="Y94" s="48">
        <v>82</v>
      </c>
    </row>
    <row r="95" spans="1:25" ht="12" customHeight="1">
      <c r="A95" s="48"/>
      <c r="B95" s="1892" t="s">
        <v>1820</v>
      </c>
      <c r="C95" s="299" t="s">
        <v>1245</v>
      </c>
      <c r="D95" s="1466" t="s">
        <v>46</v>
      </c>
      <c r="E95" s="3040">
        <f t="shared" si="11"/>
        <v>2186592889</v>
      </c>
      <c r="F95" s="3090">
        <f t="shared" si="12"/>
        <v>123.7312970903068</v>
      </c>
      <c r="G95" s="2789">
        <f>237+325+0+831+690+571+707+221+1298</f>
        <v>4880</v>
      </c>
      <c r="H95" s="2791">
        <f>10.6+12.4+0+37+64.4+54.5+47.3+5.2+28.4</f>
        <v>259.79999999999995</v>
      </c>
      <c r="I95" s="2779">
        <v>79092890</v>
      </c>
      <c r="J95" s="2691">
        <v>90361782</v>
      </c>
      <c r="K95" s="2691">
        <v>17787612</v>
      </c>
      <c r="L95" s="2691">
        <v>316321162</v>
      </c>
      <c r="M95" s="2691">
        <v>582134631</v>
      </c>
      <c r="N95" s="2691">
        <v>489939093</v>
      </c>
      <c r="O95" s="2644">
        <v>367325538</v>
      </c>
      <c r="P95" s="2691">
        <v>36824254</v>
      </c>
      <c r="Q95" s="2691">
        <v>206805927</v>
      </c>
      <c r="R95" s="2771" t="s">
        <v>1244</v>
      </c>
      <c r="S95" s="2772" t="s">
        <v>76</v>
      </c>
      <c r="T95" s="2788">
        <v>2</v>
      </c>
      <c r="U95" s="2774">
        <v>40447</v>
      </c>
      <c r="V95" s="2792" t="s">
        <v>138</v>
      </c>
      <c r="W95" s="2775" t="s">
        <v>215</v>
      </c>
      <c r="X95" s="2776">
        <f t="shared" ca="1" si="13"/>
        <v>2.3194444444444446</v>
      </c>
      <c r="Y95" s="48"/>
    </row>
    <row r="96" spans="1:25" ht="12" customHeight="1">
      <c r="A96" s="48">
        <v>84</v>
      </c>
      <c r="B96" s="448" t="s">
        <v>47</v>
      </c>
      <c r="C96" s="307" t="s">
        <v>159</v>
      </c>
      <c r="D96" s="862"/>
      <c r="E96" s="3040">
        <f t="shared" si="11"/>
        <v>2123602403</v>
      </c>
      <c r="F96" s="3090">
        <f t="shared" si="12"/>
        <v>123.96014307669665</v>
      </c>
      <c r="G96" s="2793"/>
      <c r="H96" s="1708"/>
      <c r="I96" s="2779">
        <v>93922919</v>
      </c>
      <c r="J96" s="2691">
        <v>108270717</v>
      </c>
      <c r="K96" s="2691">
        <v>17182847</v>
      </c>
      <c r="L96" s="2691">
        <v>300046294</v>
      </c>
      <c r="M96" s="2691">
        <v>590697638</v>
      </c>
      <c r="N96" s="2691">
        <v>488567000</v>
      </c>
      <c r="O96" s="2644">
        <v>310736978</v>
      </c>
      <c r="P96" s="2691">
        <v>39029557</v>
      </c>
      <c r="Q96" s="2691">
        <v>175148453</v>
      </c>
      <c r="R96" s="2771" t="s">
        <v>135</v>
      </c>
      <c r="S96" s="2787" t="s">
        <v>72</v>
      </c>
      <c r="T96" s="2773">
        <v>1</v>
      </c>
      <c r="U96" s="2774">
        <v>39683</v>
      </c>
      <c r="V96" s="2775" t="s">
        <v>73</v>
      </c>
      <c r="W96" s="2775" t="s">
        <v>160</v>
      </c>
      <c r="X96" s="2776">
        <f t="shared" ca="1" si="13"/>
        <v>4.4111111111111114</v>
      </c>
      <c r="Y96" s="48">
        <v>84</v>
      </c>
    </row>
    <row r="97" spans="1:25" ht="12" customHeight="1">
      <c r="A97" s="48"/>
      <c r="B97" s="2855" t="s">
        <v>47</v>
      </c>
      <c r="C97" s="2856" t="s">
        <v>861</v>
      </c>
      <c r="D97" s="2857"/>
      <c r="E97" s="3045">
        <f t="shared" si="11"/>
        <v>2119165656</v>
      </c>
      <c r="F97" s="3090">
        <f t="shared" si="12"/>
        <v>123.99004317841882</v>
      </c>
      <c r="G97" s="2840">
        <f>58+166+0+172+220+97+46+303+252</f>
        <v>1314</v>
      </c>
      <c r="H97" s="2807"/>
      <c r="I97" s="2746">
        <v>95876522</v>
      </c>
      <c r="J97" s="2747">
        <v>109705317</v>
      </c>
      <c r="K97" s="2809">
        <v>17131453</v>
      </c>
      <c r="L97" s="2747">
        <v>300316365</v>
      </c>
      <c r="M97" s="2747">
        <v>593675968</v>
      </c>
      <c r="N97" s="2747">
        <v>486671559</v>
      </c>
      <c r="O97" s="2747">
        <v>304919660</v>
      </c>
      <c r="P97" s="2747">
        <v>38994819</v>
      </c>
      <c r="Q97" s="2747">
        <v>171873993</v>
      </c>
      <c r="R97" s="2841" t="s">
        <v>183</v>
      </c>
      <c r="S97" s="2842" t="s">
        <v>76</v>
      </c>
      <c r="T97" s="2843">
        <v>1</v>
      </c>
      <c r="U97" s="2844">
        <v>40482</v>
      </c>
      <c r="V97" s="2845" t="s">
        <v>82</v>
      </c>
      <c r="W97" s="2845" t="s">
        <v>1037</v>
      </c>
      <c r="X97" s="2815">
        <f t="shared" ca="1" si="13"/>
        <v>2.2250000000000001</v>
      </c>
      <c r="Y97" s="48"/>
    </row>
    <row r="98" spans="1:25" ht="12" customHeight="1">
      <c r="A98" s="48">
        <v>86</v>
      </c>
      <c r="B98" s="2858" t="s">
        <v>1820</v>
      </c>
      <c r="C98" s="2430" t="s">
        <v>1276</v>
      </c>
      <c r="D98" s="2854"/>
      <c r="E98" s="3044">
        <f t="shared" si="11"/>
        <v>2154296303</v>
      </c>
      <c r="F98" s="3090">
        <f t="shared" si="12"/>
        <v>124.14877837930194</v>
      </c>
      <c r="G98" s="2832">
        <f>57+76+0+246+40+39+83+105+194</f>
        <v>840</v>
      </c>
      <c r="H98" s="2833">
        <f>30+27+0+184+16+13+29+57+148</f>
        <v>504</v>
      </c>
      <c r="I98" s="1858">
        <v>85876115</v>
      </c>
      <c r="J98" s="2669">
        <v>93212800</v>
      </c>
      <c r="K98" s="2669">
        <v>17752694</v>
      </c>
      <c r="L98" s="2669">
        <v>307792311</v>
      </c>
      <c r="M98" s="2669">
        <v>583840363</v>
      </c>
      <c r="N98" s="2669">
        <v>487787256</v>
      </c>
      <c r="O98" s="2669">
        <v>321392802</v>
      </c>
      <c r="P98" s="2669">
        <v>38231702</v>
      </c>
      <c r="Q98" s="2669">
        <v>218410260</v>
      </c>
      <c r="R98" s="2846" t="s">
        <v>168</v>
      </c>
      <c r="S98" s="2847" t="s">
        <v>72</v>
      </c>
      <c r="T98" s="2848">
        <v>8</v>
      </c>
      <c r="U98" s="2849">
        <v>41032</v>
      </c>
      <c r="V98" s="2850" t="s">
        <v>82</v>
      </c>
      <c r="W98" s="2850" t="s">
        <v>1207</v>
      </c>
      <c r="X98" s="2823">
        <f t="shared" ca="1" si="13"/>
        <v>0.71666666666666667</v>
      </c>
      <c r="Y98" s="48">
        <v>86</v>
      </c>
    </row>
    <row r="99" spans="1:25" ht="12" customHeight="1">
      <c r="A99" s="48"/>
      <c r="B99" s="2799" t="s">
        <v>1820</v>
      </c>
      <c r="C99" s="1451" t="s">
        <v>207</v>
      </c>
      <c r="D99" s="2800"/>
      <c r="E99" s="3043">
        <f t="shared" si="11"/>
        <v>2144595803</v>
      </c>
      <c r="F99" s="3090">
        <f t="shared" si="12"/>
        <v>124.38932924445216</v>
      </c>
      <c r="G99" s="2801"/>
      <c r="H99" s="1898"/>
      <c r="I99" s="2779">
        <v>89898816</v>
      </c>
      <c r="J99" s="2691">
        <v>101856759</v>
      </c>
      <c r="K99" s="2691">
        <v>18054801</v>
      </c>
      <c r="L99" s="2691">
        <v>308122202</v>
      </c>
      <c r="M99" s="2691">
        <v>590693341</v>
      </c>
      <c r="N99" s="2691">
        <v>489051945</v>
      </c>
      <c r="O99" s="2644">
        <v>311183180</v>
      </c>
      <c r="P99" s="2691">
        <v>37513145</v>
      </c>
      <c r="Q99" s="2691">
        <v>198221614</v>
      </c>
      <c r="R99" s="2794" t="s">
        <v>208</v>
      </c>
      <c r="S99" s="2795" t="s">
        <v>76</v>
      </c>
      <c r="T99" s="2796">
        <v>1</v>
      </c>
      <c r="U99" s="2797">
        <v>37891</v>
      </c>
      <c r="V99" s="2798" t="s">
        <v>209</v>
      </c>
      <c r="W99" s="2798" t="s">
        <v>1041</v>
      </c>
      <c r="X99" s="2776">
        <f t="shared" ca="1" si="13"/>
        <v>9.3166666666666664</v>
      </c>
      <c r="Y99" s="48"/>
    </row>
    <row r="100" spans="1:25" ht="12" customHeight="1">
      <c r="A100" s="48">
        <v>88</v>
      </c>
      <c r="B100" s="448" t="s">
        <v>47</v>
      </c>
      <c r="C100" s="1902" t="s">
        <v>241</v>
      </c>
      <c r="D100" s="1465"/>
      <c r="E100" s="3040">
        <f t="shared" si="11"/>
        <v>2129845057</v>
      </c>
      <c r="F100" s="3090">
        <f t="shared" si="12"/>
        <v>124.48230475975099</v>
      </c>
      <c r="G100" s="2493"/>
      <c r="H100" s="1708"/>
      <c r="I100" s="1776">
        <v>93095906</v>
      </c>
      <c r="J100" s="1674">
        <v>108002392</v>
      </c>
      <c r="K100" s="1674">
        <v>17256427</v>
      </c>
      <c r="L100" s="1674">
        <v>300665961</v>
      </c>
      <c r="M100" s="1674">
        <v>587743831</v>
      </c>
      <c r="N100" s="1674">
        <v>485577118</v>
      </c>
      <c r="O100" s="1604">
        <v>311046550</v>
      </c>
      <c r="P100" s="1674">
        <v>38464708</v>
      </c>
      <c r="Q100" s="1674">
        <v>187992164</v>
      </c>
      <c r="R100" s="298" t="s">
        <v>242</v>
      </c>
      <c r="S100" s="306" t="s">
        <v>185</v>
      </c>
      <c r="T100" s="461">
        <v>1</v>
      </c>
      <c r="U100" s="1617">
        <v>37802</v>
      </c>
      <c r="V100" s="457" t="s">
        <v>84</v>
      </c>
      <c r="W100" s="457" t="s">
        <v>243</v>
      </c>
      <c r="X100" s="849">
        <f t="shared" ca="1" si="13"/>
        <v>9.5583333333333336</v>
      </c>
      <c r="Y100" s="48">
        <v>88</v>
      </c>
    </row>
    <row r="101" spans="1:25" ht="12" customHeight="1">
      <c r="A101" s="48"/>
      <c r="B101" s="2412" t="s">
        <v>1820</v>
      </c>
      <c r="C101" s="2435" t="s">
        <v>818</v>
      </c>
      <c r="D101" s="2469"/>
      <c r="E101" s="3041">
        <f t="shared" si="11"/>
        <v>2143659533</v>
      </c>
      <c r="F101" s="3090">
        <f t="shared" si="12"/>
        <v>124.78205766614039</v>
      </c>
      <c r="G101" s="2337"/>
      <c r="H101" s="1976"/>
      <c r="I101" s="1855">
        <v>91624046</v>
      </c>
      <c r="J101" s="1856">
        <v>108531937</v>
      </c>
      <c r="K101" s="1856">
        <v>17735773</v>
      </c>
      <c r="L101" s="1856">
        <v>302273608</v>
      </c>
      <c r="M101" s="1856">
        <v>594825412</v>
      </c>
      <c r="N101" s="1856">
        <v>490128616</v>
      </c>
      <c r="O101" s="1856">
        <v>317729374</v>
      </c>
      <c r="P101" s="1856">
        <v>38146497</v>
      </c>
      <c r="Q101" s="1856">
        <v>182664270</v>
      </c>
      <c r="R101" s="2545" t="s">
        <v>211</v>
      </c>
      <c r="S101" s="2560" t="s">
        <v>76</v>
      </c>
      <c r="T101" s="1979">
        <v>1</v>
      </c>
      <c r="U101" s="1980">
        <v>38398</v>
      </c>
      <c r="V101" s="1981" t="s">
        <v>89</v>
      </c>
      <c r="W101" s="1981" t="s">
        <v>212</v>
      </c>
      <c r="X101" s="1973">
        <f t="shared" ca="1" si="13"/>
        <v>7.9333333333333336</v>
      </c>
      <c r="Y101" s="48"/>
    </row>
    <row r="102" spans="1:25" ht="12" customHeight="1">
      <c r="A102" s="48">
        <v>90</v>
      </c>
      <c r="B102" s="2418" t="s">
        <v>47</v>
      </c>
      <c r="C102" s="1985" t="s">
        <v>235</v>
      </c>
      <c r="D102" s="1974" t="s">
        <v>46</v>
      </c>
      <c r="E102" s="3046">
        <f t="shared" si="11"/>
        <v>2156497173</v>
      </c>
      <c r="F102" s="3090">
        <f t="shared" si="12"/>
        <v>124.78831765042406</v>
      </c>
      <c r="G102" s="2499"/>
      <c r="H102" s="2520"/>
      <c r="I102" s="1858">
        <v>87112959</v>
      </c>
      <c r="J102" s="1850">
        <v>105065841</v>
      </c>
      <c r="K102" s="1850">
        <v>17756392</v>
      </c>
      <c r="L102" s="1850">
        <v>299863893</v>
      </c>
      <c r="M102" s="1850">
        <v>591019735</v>
      </c>
      <c r="N102" s="1850">
        <v>488092322</v>
      </c>
      <c r="O102" s="1850">
        <v>339815777</v>
      </c>
      <c r="P102" s="1850">
        <v>38169677</v>
      </c>
      <c r="Q102" s="1850">
        <v>189600577</v>
      </c>
      <c r="R102" s="1986" t="s">
        <v>236</v>
      </c>
      <c r="S102" s="1987" t="s">
        <v>76</v>
      </c>
      <c r="T102" s="1988">
        <v>1</v>
      </c>
      <c r="U102" s="1989">
        <v>39093</v>
      </c>
      <c r="V102" s="1990" t="s">
        <v>237</v>
      </c>
      <c r="W102" s="1990" t="s">
        <v>238</v>
      </c>
      <c r="X102" s="1967">
        <f t="shared" ca="1" si="13"/>
        <v>6.0277777777777777</v>
      </c>
      <c r="Y102" s="48">
        <v>90</v>
      </c>
    </row>
    <row r="103" spans="1:25" ht="12" customHeight="1">
      <c r="A103" s="48"/>
      <c r="B103" s="855" t="s">
        <v>47</v>
      </c>
      <c r="C103" s="302" t="s">
        <v>172</v>
      </c>
      <c r="D103" s="2471"/>
      <c r="E103" s="3047">
        <f t="shared" si="11"/>
        <v>2181869644</v>
      </c>
      <c r="F103" s="3090">
        <f t="shared" si="12"/>
        <v>124.88502976052965</v>
      </c>
      <c r="G103" s="2335"/>
      <c r="H103" s="1709"/>
      <c r="I103" s="1673">
        <v>80220762</v>
      </c>
      <c r="J103" s="1604">
        <v>90164689</v>
      </c>
      <c r="K103" s="1604">
        <v>18477152</v>
      </c>
      <c r="L103" s="1604">
        <v>327598035</v>
      </c>
      <c r="M103" s="1604">
        <v>580888068</v>
      </c>
      <c r="N103" s="1604">
        <v>484267260</v>
      </c>
      <c r="O103" s="1604">
        <v>338850012</v>
      </c>
      <c r="P103" s="1604">
        <v>37577143</v>
      </c>
      <c r="Q103" s="1604">
        <v>223826523</v>
      </c>
      <c r="R103" s="303" t="s">
        <v>173</v>
      </c>
      <c r="S103" s="304" t="s">
        <v>76</v>
      </c>
      <c r="T103" s="449">
        <v>1</v>
      </c>
      <c r="U103" s="1619">
        <v>39121</v>
      </c>
      <c r="V103" s="450" t="s">
        <v>82</v>
      </c>
      <c r="W103" s="450" t="s">
        <v>174</v>
      </c>
      <c r="X103" s="849">
        <f t="shared" ca="1" si="13"/>
        <v>5.9527777777777775</v>
      </c>
      <c r="Y103" s="48"/>
    </row>
    <row r="104" spans="1:25" ht="12" customHeight="1">
      <c r="A104" s="48">
        <v>92</v>
      </c>
      <c r="B104" s="1900" t="s">
        <v>47</v>
      </c>
      <c r="C104" s="1901" t="s">
        <v>255</v>
      </c>
      <c r="D104" s="2470"/>
      <c r="E104" s="3048">
        <f t="shared" si="11"/>
        <v>2175469590</v>
      </c>
      <c r="F104" s="3090">
        <f t="shared" si="12"/>
        <v>125.05520955288512</v>
      </c>
      <c r="G104" s="2339"/>
      <c r="H104" s="1711"/>
      <c r="I104" s="1673">
        <v>84755096</v>
      </c>
      <c r="J104" s="1604">
        <v>108233769</v>
      </c>
      <c r="K104" s="1604">
        <v>17970025</v>
      </c>
      <c r="L104" s="1604">
        <v>304871365</v>
      </c>
      <c r="M104" s="1604">
        <v>607113152</v>
      </c>
      <c r="N104" s="1604">
        <v>490093603</v>
      </c>
      <c r="O104" s="1604">
        <v>337025048</v>
      </c>
      <c r="P104" s="1604">
        <v>37014952</v>
      </c>
      <c r="Q104" s="1604">
        <v>188392580</v>
      </c>
      <c r="R104" s="294" t="s">
        <v>124</v>
      </c>
      <c r="S104" s="295" t="s">
        <v>76</v>
      </c>
      <c r="T104" s="452">
        <v>1</v>
      </c>
      <c r="U104" s="1621">
        <v>36856</v>
      </c>
      <c r="V104" s="453" t="s">
        <v>82</v>
      </c>
      <c r="W104" s="453" t="s">
        <v>125</v>
      </c>
      <c r="X104" s="849">
        <f t="shared" ca="1" si="13"/>
        <v>12.152777777777779</v>
      </c>
      <c r="Y104" s="48">
        <v>92</v>
      </c>
    </row>
    <row r="105" spans="1:25" ht="12" customHeight="1">
      <c r="A105" s="48"/>
      <c r="B105" s="2869" t="s">
        <v>47</v>
      </c>
      <c r="C105" s="2803" t="s">
        <v>175</v>
      </c>
      <c r="D105" s="2870"/>
      <c r="E105" s="3049">
        <f t="shared" si="11"/>
        <v>2189532570</v>
      </c>
      <c r="F105" s="3090">
        <f t="shared" si="12"/>
        <v>125.73260063846716</v>
      </c>
      <c r="G105" s="2880"/>
      <c r="H105" s="2880"/>
      <c r="I105" s="2747">
        <v>80999513</v>
      </c>
      <c r="J105" s="2747">
        <v>90373039</v>
      </c>
      <c r="K105" s="2747">
        <v>19248987</v>
      </c>
      <c r="L105" s="2747">
        <v>330228855</v>
      </c>
      <c r="M105" s="2747">
        <v>583742981</v>
      </c>
      <c r="N105" s="2747">
        <v>484319020</v>
      </c>
      <c r="O105" s="2747">
        <v>338880556</v>
      </c>
      <c r="P105" s="2747">
        <v>37469753</v>
      </c>
      <c r="Q105" s="2747">
        <v>224269866</v>
      </c>
      <c r="R105" s="2810" t="s">
        <v>152</v>
      </c>
      <c r="S105" s="2811" t="s">
        <v>76</v>
      </c>
      <c r="T105" s="2881">
        <v>1</v>
      </c>
      <c r="U105" s="2813">
        <v>39085</v>
      </c>
      <c r="V105" s="2814" t="s">
        <v>82</v>
      </c>
      <c r="W105" s="2814" t="s">
        <v>176</v>
      </c>
      <c r="X105" s="2815">
        <f t="shared" ca="1" si="13"/>
        <v>6.05</v>
      </c>
      <c r="Y105" s="48"/>
    </row>
    <row r="106" spans="1:25" ht="12" customHeight="1">
      <c r="A106" s="48">
        <v>94</v>
      </c>
      <c r="B106" s="2871" t="s">
        <v>1820</v>
      </c>
      <c r="C106" s="2430" t="s">
        <v>878</v>
      </c>
      <c r="D106" s="2872"/>
      <c r="E106" s="2603">
        <f t="shared" si="11"/>
        <v>2207413541</v>
      </c>
      <c r="F106" s="3090">
        <f t="shared" si="12"/>
        <v>125.9937322984114</v>
      </c>
      <c r="G106" s="2882">
        <f>166+366+0+675+254+145+173+742+257</f>
        <v>2778</v>
      </c>
      <c r="H106" s="2883"/>
      <c r="I106" s="2716">
        <v>80321282</v>
      </c>
      <c r="J106" s="2716">
        <v>91625148</v>
      </c>
      <c r="K106" s="2716">
        <v>17921675</v>
      </c>
      <c r="L106" s="2716">
        <v>321995902</v>
      </c>
      <c r="M106" s="2716">
        <v>584408803</v>
      </c>
      <c r="N106" s="2716">
        <v>489807206</v>
      </c>
      <c r="O106" s="2669">
        <v>366440403</v>
      </c>
      <c r="P106" s="2716">
        <v>39225968</v>
      </c>
      <c r="Q106" s="2716">
        <v>215667154</v>
      </c>
      <c r="R106" s="2846" t="s">
        <v>876</v>
      </c>
      <c r="S106" s="2884" t="s">
        <v>76</v>
      </c>
      <c r="T106" s="2885">
        <v>1</v>
      </c>
      <c r="U106" s="2886">
        <v>40458</v>
      </c>
      <c r="V106" s="2850" t="s">
        <v>488</v>
      </c>
      <c r="W106" s="2850" t="s">
        <v>877</v>
      </c>
      <c r="X106" s="2823">
        <f t="shared" ca="1" si="13"/>
        <v>2.2888888888888888</v>
      </c>
      <c r="Y106" s="48">
        <v>94</v>
      </c>
    </row>
    <row r="107" spans="1:25" ht="12" customHeight="1">
      <c r="A107" s="48"/>
      <c r="B107" s="1900" t="s">
        <v>47</v>
      </c>
      <c r="C107" s="1901" t="s">
        <v>219</v>
      </c>
      <c r="D107" s="2859"/>
      <c r="E107" s="2287">
        <f t="shared" si="11"/>
        <v>2157867394</v>
      </c>
      <c r="F107" s="3090">
        <f t="shared" si="12"/>
        <v>126.13563756191985</v>
      </c>
      <c r="G107" s="2860"/>
      <c r="H107" s="2861"/>
      <c r="I107" s="2691">
        <v>90858133</v>
      </c>
      <c r="J107" s="2691">
        <v>106488393</v>
      </c>
      <c r="K107" s="2691">
        <v>17648115</v>
      </c>
      <c r="L107" s="2691">
        <v>305387815</v>
      </c>
      <c r="M107" s="2691">
        <v>589828182</v>
      </c>
      <c r="N107" s="2691">
        <v>486063486</v>
      </c>
      <c r="O107" s="2644">
        <v>322682944</v>
      </c>
      <c r="P107" s="2691">
        <v>39476848</v>
      </c>
      <c r="Q107" s="2691">
        <v>199433478</v>
      </c>
      <c r="R107" s="2862" t="s">
        <v>220</v>
      </c>
      <c r="S107" s="2863" t="s">
        <v>76</v>
      </c>
      <c r="T107" s="2864">
        <v>1</v>
      </c>
      <c r="U107" s="2865">
        <v>38423</v>
      </c>
      <c r="V107" s="2866" t="s">
        <v>82</v>
      </c>
      <c r="W107" s="2866" t="s">
        <v>1046</v>
      </c>
      <c r="X107" s="2776">
        <f t="shared" ca="1" si="13"/>
        <v>7.8583333333333334</v>
      </c>
      <c r="Y107" s="48"/>
    </row>
    <row r="108" spans="1:25" ht="12" customHeight="1">
      <c r="A108" s="48">
        <v>96</v>
      </c>
      <c r="B108" s="1440" t="s">
        <v>47</v>
      </c>
      <c r="C108" s="299" t="s">
        <v>895</v>
      </c>
      <c r="D108" s="2867"/>
      <c r="E108" s="1719">
        <f t="shared" si="11"/>
        <v>2177569361</v>
      </c>
      <c r="F108" s="3090">
        <f t="shared" si="12"/>
        <v>126.11398650569845</v>
      </c>
      <c r="G108" s="2868">
        <f>68.1+127.4+0+178.1+37.4+60.7+149.9+243.8+97.5</f>
        <v>962.90000000000009</v>
      </c>
      <c r="H108" s="2790"/>
      <c r="I108" s="2691">
        <v>78645453</v>
      </c>
      <c r="J108" s="2644">
        <v>88718448</v>
      </c>
      <c r="K108" s="2644">
        <v>18739070</v>
      </c>
      <c r="L108" s="2644">
        <v>316719522</v>
      </c>
      <c r="M108" s="2644">
        <v>577523189</v>
      </c>
      <c r="N108" s="2644">
        <v>487365987</v>
      </c>
      <c r="O108" s="2644">
        <v>332646374</v>
      </c>
      <c r="P108" s="2644">
        <v>41622041</v>
      </c>
      <c r="Q108" s="2644">
        <v>235589277</v>
      </c>
      <c r="R108" s="2771" t="s">
        <v>812</v>
      </c>
      <c r="S108" s="2772" t="s">
        <v>76</v>
      </c>
      <c r="T108" s="2773">
        <v>1</v>
      </c>
      <c r="U108" s="2774">
        <v>40773</v>
      </c>
      <c r="V108" s="2775" t="s">
        <v>86</v>
      </c>
      <c r="W108" s="2775" t="s">
        <v>1047</v>
      </c>
      <c r="X108" s="2776">
        <f t="shared" ca="1" si="13"/>
        <v>1.425</v>
      </c>
      <c r="Y108" s="48">
        <v>96</v>
      </c>
    </row>
    <row r="109" spans="1:25" ht="12" customHeight="1">
      <c r="A109" s="48"/>
      <c r="B109" s="2851" t="s">
        <v>47</v>
      </c>
      <c r="C109" s="2873" t="s">
        <v>1132</v>
      </c>
      <c r="D109" s="2874"/>
      <c r="E109" s="3050">
        <f t="shared" si="11"/>
        <v>2191114583</v>
      </c>
      <c r="F109" s="3090">
        <f t="shared" si="12"/>
        <v>126.25244027307146</v>
      </c>
      <c r="G109" s="2887"/>
      <c r="H109" s="2887"/>
      <c r="I109" s="2747">
        <v>88027853</v>
      </c>
      <c r="J109" s="2747">
        <v>102047041</v>
      </c>
      <c r="K109" s="2747">
        <v>17412444</v>
      </c>
      <c r="L109" s="2747">
        <v>312670582</v>
      </c>
      <c r="M109" s="2747">
        <v>594570674</v>
      </c>
      <c r="N109" s="2747">
        <v>489808954</v>
      </c>
      <c r="O109" s="2747">
        <v>345716754</v>
      </c>
      <c r="P109" s="2747">
        <v>38542846</v>
      </c>
      <c r="Q109" s="2747">
        <v>202317435</v>
      </c>
      <c r="R109" s="2888" t="s">
        <v>106</v>
      </c>
      <c r="S109" s="2889" t="s">
        <v>76</v>
      </c>
      <c r="T109" s="2829">
        <v>1</v>
      </c>
      <c r="U109" s="2890">
        <v>37604</v>
      </c>
      <c r="V109" s="2891" t="s">
        <v>82</v>
      </c>
      <c r="W109" s="2891" t="s">
        <v>1133</v>
      </c>
      <c r="X109" s="2815">
        <f t="shared" ca="1" si="13"/>
        <v>10.102777777777778</v>
      </c>
      <c r="Y109" s="48"/>
    </row>
    <row r="110" spans="1:25" ht="12" customHeight="1">
      <c r="A110" s="48">
        <v>98</v>
      </c>
      <c r="B110" s="2875" t="s">
        <v>1820</v>
      </c>
      <c r="C110" s="1985" t="s">
        <v>165</v>
      </c>
      <c r="D110" s="2876"/>
      <c r="E110" s="3051">
        <f t="shared" si="11"/>
        <v>2143744912</v>
      </c>
      <c r="F110" s="3090">
        <f t="shared" si="12"/>
        <v>126.28777414139533</v>
      </c>
      <c r="G110" s="2892">
        <f>69+157+0+68+203+112+304+380+281</f>
        <v>1574</v>
      </c>
      <c r="H110" s="2893"/>
      <c r="I110" s="2716">
        <v>85088544</v>
      </c>
      <c r="J110" s="2716">
        <v>111059712</v>
      </c>
      <c r="K110" s="2716">
        <v>18494784</v>
      </c>
      <c r="L110" s="2716">
        <v>309172160</v>
      </c>
      <c r="M110" s="2716">
        <v>588457568</v>
      </c>
      <c r="N110" s="2716">
        <v>483831216</v>
      </c>
      <c r="O110" s="2669">
        <v>297893488</v>
      </c>
      <c r="P110" s="2716">
        <v>39694096</v>
      </c>
      <c r="Q110" s="2716">
        <v>210053344</v>
      </c>
      <c r="R110" s="2894" t="s">
        <v>166</v>
      </c>
      <c r="S110" s="2895" t="s">
        <v>76</v>
      </c>
      <c r="T110" s="2896">
        <v>1</v>
      </c>
      <c r="U110" s="2897">
        <v>38200</v>
      </c>
      <c r="V110" s="2898" t="s">
        <v>167</v>
      </c>
      <c r="W110" s="2899" t="s">
        <v>120</v>
      </c>
      <c r="X110" s="2823">
        <f t="shared" ca="1" si="13"/>
        <v>8.4722222222222214</v>
      </c>
      <c r="Y110" s="48">
        <v>98</v>
      </c>
    </row>
    <row r="111" spans="1:25" ht="12" customHeight="1">
      <c r="A111" s="48"/>
      <c r="B111" s="2877" t="s">
        <v>1820</v>
      </c>
      <c r="C111" s="2878" t="s">
        <v>823</v>
      </c>
      <c r="D111" s="2879"/>
      <c r="E111" s="3052">
        <f t="shared" si="11"/>
        <v>2166168031</v>
      </c>
      <c r="F111" s="3090">
        <f t="shared" si="12"/>
        <v>126.39588504293677</v>
      </c>
      <c r="G111" s="2900"/>
      <c r="H111" s="2900"/>
      <c r="I111" s="2747">
        <v>90330268</v>
      </c>
      <c r="J111" s="2747">
        <v>110686632</v>
      </c>
      <c r="K111" s="2747">
        <v>17988301</v>
      </c>
      <c r="L111" s="2747">
        <v>307495411</v>
      </c>
      <c r="M111" s="2747">
        <v>596877061</v>
      </c>
      <c r="N111" s="2747">
        <v>489208756</v>
      </c>
      <c r="O111" s="2747">
        <v>319694127</v>
      </c>
      <c r="P111" s="2747">
        <v>38142148</v>
      </c>
      <c r="Q111" s="2747">
        <v>195745327</v>
      </c>
      <c r="R111" s="2901" t="s">
        <v>211</v>
      </c>
      <c r="S111" s="2902" t="s">
        <v>76</v>
      </c>
      <c r="T111" s="2903">
        <v>1</v>
      </c>
      <c r="U111" s="2904">
        <v>38380</v>
      </c>
      <c r="V111" s="2905" t="s">
        <v>89</v>
      </c>
      <c r="W111" s="2905" t="s">
        <v>212</v>
      </c>
      <c r="X111" s="2815">
        <f t="shared" ca="1" si="13"/>
        <v>7.9805555555555552</v>
      </c>
      <c r="Y111" s="48"/>
    </row>
    <row r="112" spans="1:25" ht="12" customHeight="1">
      <c r="A112" s="48">
        <v>100</v>
      </c>
      <c r="B112" s="1962" t="s">
        <v>47</v>
      </c>
      <c r="C112" s="1983" t="s">
        <v>921</v>
      </c>
      <c r="D112" s="1984"/>
      <c r="E112" s="3053">
        <f t="shared" si="11"/>
        <v>2160402005</v>
      </c>
      <c r="F112" s="3090">
        <f t="shared" si="12"/>
        <v>126.38876204823832</v>
      </c>
      <c r="G112" s="2835">
        <f>133+135+0+321+84+85+100+392+95</f>
        <v>1345</v>
      </c>
      <c r="H112" s="2906"/>
      <c r="I112" s="2669">
        <v>80790386</v>
      </c>
      <c r="J112" s="2669">
        <v>96989461</v>
      </c>
      <c r="K112" s="2669">
        <v>20898307</v>
      </c>
      <c r="L112" s="2669">
        <v>322545887</v>
      </c>
      <c r="M112" s="2669">
        <v>596487759</v>
      </c>
      <c r="N112" s="2669">
        <v>487188753</v>
      </c>
      <c r="O112" s="2669">
        <v>301390224</v>
      </c>
      <c r="P112" s="2669">
        <v>40315723</v>
      </c>
      <c r="Q112" s="2669">
        <v>213795505</v>
      </c>
      <c r="R112" s="2818" t="s">
        <v>841</v>
      </c>
      <c r="S112" s="2819" t="s">
        <v>76</v>
      </c>
      <c r="T112" s="2820">
        <v>1</v>
      </c>
      <c r="U112" s="2821">
        <v>40912</v>
      </c>
      <c r="V112" s="2822" t="s">
        <v>129</v>
      </c>
      <c r="W112" s="2822" t="s">
        <v>842</v>
      </c>
      <c r="X112" s="2823">
        <f t="shared" ca="1" si="13"/>
        <v>1.0472222222222223</v>
      </c>
      <c r="Y112" s="48">
        <v>100</v>
      </c>
    </row>
    <row r="113" spans="1:25" ht="12" customHeight="1">
      <c r="A113" s="48"/>
      <c r="B113" s="1900" t="s">
        <v>47</v>
      </c>
      <c r="C113" s="1901" t="s">
        <v>1030</v>
      </c>
      <c r="D113" s="1905"/>
      <c r="E113" s="2287">
        <f t="shared" si="11"/>
        <v>2151108101</v>
      </c>
      <c r="F113" s="3090">
        <f t="shared" si="12"/>
        <v>126.85290032804402</v>
      </c>
      <c r="G113" s="2342"/>
      <c r="H113" s="1716"/>
      <c r="I113" s="1604">
        <v>96604927</v>
      </c>
      <c r="J113" s="1604">
        <v>111882033</v>
      </c>
      <c r="K113" s="1604">
        <v>17598025</v>
      </c>
      <c r="L113" s="1604">
        <v>305738834</v>
      </c>
      <c r="M113" s="1604">
        <v>588307467</v>
      </c>
      <c r="N113" s="1604">
        <v>485795961</v>
      </c>
      <c r="O113" s="1604">
        <v>324433275</v>
      </c>
      <c r="P113" s="1604">
        <v>40260049</v>
      </c>
      <c r="Q113" s="1604">
        <v>180487530</v>
      </c>
      <c r="R113" s="1907" t="s">
        <v>230</v>
      </c>
      <c r="S113" s="1908" t="s">
        <v>76</v>
      </c>
      <c r="T113" s="452">
        <v>1</v>
      </c>
      <c r="U113" s="1621">
        <v>36929</v>
      </c>
      <c r="V113" s="453" t="s">
        <v>231</v>
      </c>
      <c r="W113" s="453" t="s">
        <v>120</v>
      </c>
      <c r="X113" s="849">
        <f t="shared" ca="1" si="13"/>
        <v>11.955555555555556</v>
      </c>
      <c r="Y113" s="48"/>
    </row>
    <row r="114" spans="1:25" ht="12" customHeight="1">
      <c r="A114" s="48">
        <v>102</v>
      </c>
      <c r="B114" s="2411" t="s">
        <v>47</v>
      </c>
      <c r="C114" s="2431" t="s">
        <v>216</v>
      </c>
      <c r="D114" s="2601"/>
      <c r="E114" s="2482">
        <f t="shared" si="11"/>
        <v>2164593597</v>
      </c>
      <c r="F114" s="3090">
        <f t="shared" si="12"/>
        <v>127.22042098401336</v>
      </c>
      <c r="G114" s="2494"/>
      <c r="H114" s="2515"/>
      <c r="I114" s="1857">
        <v>96207198</v>
      </c>
      <c r="J114" s="1857">
        <v>113572641</v>
      </c>
      <c r="K114" s="1857">
        <v>17404503</v>
      </c>
      <c r="L114" s="1857">
        <v>305213200</v>
      </c>
      <c r="M114" s="1857">
        <v>595135649</v>
      </c>
      <c r="N114" s="1857">
        <v>490054574</v>
      </c>
      <c r="O114" s="1850">
        <v>326389070</v>
      </c>
      <c r="P114" s="1857">
        <v>40156755</v>
      </c>
      <c r="Q114" s="1857">
        <v>180460007</v>
      </c>
      <c r="R114" s="2539" t="s">
        <v>217</v>
      </c>
      <c r="S114" s="2553" t="s">
        <v>76</v>
      </c>
      <c r="T114" s="2566">
        <v>1</v>
      </c>
      <c r="U114" s="2619">
        <v>38952</v>
      </c>
      <c r="V114" s="2590" t="s">
        <v>82</v>
      </c>
      <c r="W114" s="2590" t="s">
        <v>218</v>
      </c>
      <c r="X114" s="1967">
        <f t="shared" ca="1" si="13"/>
        <v>6.4111111111111114</v>
      </c>
      <c r="Y114" s="48">
        <v>102</v>
      </c>
    </row>
    <row r="115" spans="1:25" ht="12" customHeight="1">
      <c r="A115" s="48"/>
      <c r="B115" s="2626" t="s">
        <v>47</v>
      </c>
      <c r="C115" s="1906" t="s">
        <v>184</v>
      </c>
      <c r="D115" s="2627"/>
      <c r="E115" s="3054">
        <f t="shared" si="11"/>
        <v>2191633060</v>
      </c>
      <c r="F115" s="3090">
        <f t="shared" si="12"/>
        <v>127.47042122950276</v>
      </c>
      <c r="G115" s="2343"/>
      <c r="H115" s="1717"/>
      <c r="I115" s="1604">
        <v>82356889</v>
      </c>
      <c r="J115" s="1604">
        <v>96421346</v>
      </c>
      <c r="K115" s="1604">
        <v>17394833</v>
      </c>
      <c r="L115" s="1604">
        <v>340795851</v>
      </c>
      <c r="M115" s="1604">
        <v>582621787</v>
      </c>
      <c r="N115" s="1604">
        <v>484745699</v>
      </c>
      <c r="O115" s="1604">
        <v>294683992</v>
      </c>
      <c r="P115" s="1604">
        <v>41208512</v>
      </c>
      <c r="Q115" s="1604">
        <v>251404151</v>
      </c>
      <c r="R115" s="298" t="s">
        <v>105</v>
      </c>
      <c r="S115" s="306" t="s">
        <v>185</v>
      </c>
      <c r="T115" s="461">
        <v>1</v>
      </c>
      <c r="U115" s="1623">
        <v>35785</v>
      </c>
      <c r="V115" s="457" t="s">
        <v>84</v>
      </c>
      <c r="W115" s="457" t="s">
        <v>186</v>
      </c>
      <c r="X115" s="849">
        <f t="shared" ca="1" si="13"/>
        <v>15.083333333333334</v>
      </c>
      <c r="Y115" s="48"/>
    </row>
    <row r="116" spans="1:25" ht="12" customHeight="1">
      <c r="A116" s="48">
        <v>104</v>
      </c>
      <c r="B116" s="1892" t="s">
        <v>1820</v>
      </c>
      <c r="C116" s="299" t="s">
        <v>1767</v>
      </c>
      <c r="D116" s="1899"/>
      <c r="E116" s="1719">
        <f t="shared" si="11"/>
        <v>2234107523</v>
      </c>
      <c r="F116" s="3090">
        <f t="shared" si="12"/>
        <v>127.80494065177339</v>
      </c>
      <c r="G116" s="2344">
        <f>107+146+0+462+167+149+294+138+675</f>
        <v>2138</v>
      </c>
      <c r="H116" s="1713"/>
      <c r="I116" s="1604">
        <v>80731342</v>
      </c>
      <c r="J116" s="1604">
        <v>91988920</v>
      </c>
      <c r="K116" s="1604">
        <v>18334990</v>
      </c>
      <c r="L116" s="1604">
        <v>330980725</v>
      </c>
      <c r="M116" s="1604">
        <v>585904942</v>
      </c>
      <c r="N116" s="1604">
        <v>493369032</v>
      </c>
      <c r="O116" s="1604">
        <v>370691482</v>
      </c>
      <c r="P116" s="1604">
        <v>39820387</v>
      </c>
      <c r="Q116" s="1604">
        <v>222285703</v>
      </c>
      <c r="R116" s="298" t="s">
        <v>1768</v>
      </c>
      <c r="S116" s="1904" t="s">
        <v>76</v>
      </c>
      <c r="T116" s="1384">
        <v>2</v>
      </c>
      <c r="U116" s="1617">
        <v>41088</v>
      </c>
      <c r="V116" s="457" t="s">
        <v>635</v>
      </c>
      <c r="W116" s="457" t="s">
        <v>1769</v>
      </c>
      <c r="X116" s="849">
        <f t="shared" ca="1" si="13"/>
        <v>0.56388888888888888</v>
      </c>
      <c r="Y116" s="48">
        <v>104</v>
      </c>
    </row>
    <row r="117" spans="1:25" ht="12" customHeight="1">
      <c r="A117" s="48"/>
      <c r="B117" s="1991" t="s">
        <v>47</v>
      </c>
      <c r="C117" s="1952" t="s">
        <v>191</v>
      </c>
      <c r="D117" s="2468"/>
      <c r="E117" s="3055">
        <f t="shared" si="11"/>
        <v>2202755369</v>
      </c>
      <c r="F117" s="3090">
        <f t="shared" si="12"/>
        <v>128.04081365075322</v>
      </c>
      <c r="G117" s="2346"/>
      <c r="H117" s="1992"/>
      <c r="I117" s="1914">
        <v>82209698</v>
      </c>
      <c r="J117" s="1914">
        <v>91437732</v>
      </c>
      <c r="K117" s="1914">
        <v>22230488</v>
      </c>
      <c r="L117" s="1914">
        <v>322583267</v>
      </c>
      <c r="M117" s="1914">
        <v>586053677</v>
      </c>
      <c r="N117" s="1914">
        <v>490499206</v>
      </c>
      <c r="O117" s="1856">
        <v>352840233</v>
      </c>
      <c r="P117" s="1914">
        <v>37346605</v>
      </c>
      <c r="Q117" s="1914">
        <v>217554463</v>
      </c>
      <c r="R117" s="1969" t="s">
        <v>192</v>
      </c>
      <c r="S117" s="1970" t="s">
        <v>76</v>
      </c>
      <c r="T117" s="1971">
        <v>1</v>
      </c>
      <c r="U117" s="1959">
        <v>39597</v>
      </c>
      <c r="V117" s="1972" t="s">
        <v>82</v>
      </c>
      <c r="W117" s="1972" t="s">
        <v>193</v>
      </c>
      <c r="X117" s="1973">
        <f t="shared" ca="1" si="13"/>
        <v>4.6444444444444448</v>
      </c>
      <c r="Y117" s="48"/>
    </row>
    <row r="118" spans="1:25" ht="12" customHeight="1">
      <c r="A118" s="48">
        <v>106</v>
      </c>
      <c r="B118" s="1982" t="s">
        <v>47</v>
      </c>
      <c r="C118" s="2430" t="s">
        <v>819</v>
      </c>
      <c r="D118" s="2602"/>
      <c r="E118" s="2603">
        <f t="shared" si="11"/>
        <v>2163888149</v>
      </c>
      <c r="F118" s="3090">
        <f t="shared" si="12"/>
        <v>128.23594958980001</v>
      </c>
      <c r="G118" s="2612"/>
      <c r="H118" s="2613"/>
      <c r="I118" s="1850">
        <v>99793906</v>
      </c>
      <c r="J118" s="1850">
        <v>115809668</v>
      </c>
      <c r="K118" s="1850">
        <v>17341456</v>
      </c>
      <c r="L118" s="1850">
        <v>306068242</v>
      </c>
      <c r="M118" s="1850">
        <v>591972098</v>
      </c>
      <c r="N118" s="1850">
        <v>486794888</v>
      </c>
      <c r="O118" s="1850">
        <v>326725230</v>
      </c>
      <c r="P118" s="1850">
        <v>41197626</v>
      </c>
      <c r="Q118" s="1850">
        <v>178185035</v>
      </c>
      <c r="R118" s="1964" t="s">
        <v>227</v>
      </c>
      <c r="S118" s="2552" t="s">
        <v>76</v>
      </c>
      <c r="T118" s="2565">
        <v>1</v>
      </c>
      <c r="U118" s="1965">
        <v>39168</v>
      </c>
      <c r="V118" s="1966" t="s">
        <v>89</v>
      </c>
      <c r="W118" s="1966" t="s">
        <v>228</v>
      </c>
      <c r="X118" s="1967">
        <f t="shared" ca="1" si="13"/>
        <v>5.8166666666666664</v>
      </c>
      <c r="Y118" s="48">
        <v>106</v>
      </c>
    </row>
    <row r="119" spans="1:25" ht="12" customHeight="1">
      <c r="A119" s="48"/>
      <c r="B119" s="1900" t="s">
        <v>47</v>
      </c>
      <c r="C119" s="1901" t="s">
        <v>1265</v>
      </c>
      <c r="D119" s="1905"/>
      <c r="E119" s="2287">
        <f t="shared" si="11"/>
        <v>2169548415</v>
      </c>
      <c r="F119" s="3090">
        <f t="shared" si="12"/>
        <v>128.47671722570965</v>
      </c>
      <c r="G119" s="2342"/>
      <c r="H119" s="1716"/>
      <c r="I119" s="1604">
        <v>94872444</v>
      </c>
      <c r="J119" s="1604">
        <v>116635812</v>
      </c>
      <c r="K119" s="1604">
        <v>17894852</v>
      </c>
      <c r="L119" s="1604">
        <v>308597737</v>
      </c>
      <c r="M119" s="1604">
        <v>594686364</v>
      </c>
      <c r="N119" s="1604">
        <v>487528532</v>
      </c>
      <c r="O119" s="1604">
        <v>313652265</v>
      </c>
      <c r="P119" s="1604">
        <v>40331587</v>
      </c>
      <c r="Q119" s="1604">
        <v>195348822</v>
      </c>
      <c r="R119" s="294" t="s">
        <v>199</v>
      </c>
      <c r="S119" s="295" t="s">
        <v>76</v>
      </c>
      <c r="T119" s="452">
        <v>1</v>
      </c>
      <c r="U119" s="1621">
        <v>36628</v>
      </c>
      <c r="V119" s="453" t="s">
        <v>84</v>
      </c>
      <c r="W119" s="453" t="s">
        <v>200</v>
      </c>
      <c r="X119" s="849">
        <f t="shared" ca="1" si="13"/>
        <v>12.775</v>
      </c>
      <c r="Y119" s="48"/>
    </row>
    <row r="120" spans="1:25" ht="12" customHeight="1">
      <c r="A120" s="48">
        <v>108</v>
      </c>
      <c r="B120" s="1440" t="s">
        <v>47</v>
      </c>
      <c r="C120" s="2604" t="s">
        <v>299</v>
      </c>
      <c r="D120" s="1903"/>
      <c r="E120" s="3056">
        <f t="shared" si="11"/>
        <v>2216452852</v>
      </c>
      <c r="F120" s="3090">
        <f t="shared" si="12"/>
        <v>128.7598684573079</v>
      </c>
      <c r="G120" s="2345"/>
      <c r="H120" s="1718"/>
      <c r="I120" s="1674">
        <f>87641044-35509</f>
        <v>87605535</v>
      </c>
      <c r="J120" s="1604">
        <v>108446482</v>
      </c>
      <c r="K120" s="1674">
        <v>18068363</v>
      </c>
      <c r="L120" s="1674">
        <f>186234476+133731168</f>
        <v>319965644</v>
      </c>
      <c r="M120" s="1674">
        <f>301736526+286743914</f>
        <v>588480440</v>
      </c>
      <c r="N120" s="1674">
        <v>489679170</v>
      </c>
      <c r="O120" s="1604">
        <v>354595460</v>
      </c>
      <c r="P120" s="1674">
        <f>38115478-35509</f>
        <v>38079969</v>
      </c>
      <c r="Q120" s="1674">
        <f>112976695+98555094</f>
        <v>211531789</v>
      </c>
      <c r="R120" s="300" t="s">
        <v>300</v>
      </c>
      <c r="S120" s="301" t="s">
        <v>185</v>
      </c>
      <c r="T120" s="463">
        <v>1</v>
      </c>
      <c r="U120" s="1622">
        <v>35545</v>
      </c>
      <c r="V120" s="458" t="s">
        <v>82</v>
      </c>
      <c r="W120" s="458" t="s">
        <v>188</v>
      </c>
      <c r="X120" s="849">
        <f t="shared" ca="1" si="13"/>
        <v>15.738888888888889</v>
      </c>
      <c r="Y120" s="48">
        <v>108</v>
      </c>
    </row>
    <row r="121" spans="1:25" ht="12" customHeight="1">
      <c r="A121" s="48"/>
      <c r="B121" s="2412" t="s">
        <v>1820</v>
      </c>
      <c r="C121" s="2435" t="s">
        <v>1034</v>
      </c>
      <c r="D121" s="2466"/>
      <c r="E121" s="3057">
        <f t="shared" si="11"/>
        <v>2193559225</v>
      </c>
      <c r="F121" s="3090">
        <f t="shared" si="12"/>
        <v>128.70161350072422</v>
      </c>
      <c r="G121" s="2498"/>
      <c r="H121" s="2519"/>
      <c r="I121" s="1914">
        <v>81491720</v>
      </c>
      <c r="J121" s="1914">
        <v>101952231</v>
      </c>
      <c r="K121" s="1914">
        <v>20783939</v>
      </c>
      <c r="L121" s="1914">
        <v>302727204</v>
      </c>
      <c r="M121" s="1914">
        <v>595817719</v>
      </c>
      <c r="N121" s="1914">
        <v>491606522</v>
      </c>
      <c r="O121" s="1856">
        <v>322003004</v>
      </c>
      <c r="P121" s="1914">
        <v>38823109</v>
      </c>
      <c r="Q121" s="1914">
        <v>238353777</v>
      </c>
      <c r="R121" s="2545" t="s">
        <v>71</v>
      </c>
      <c r="S121" s="2559" t="s">
        <v>76</v>
      </c>
      <c r="T121" s="1979">
        <v>1</v>
      </c>
      <c r="U121" s="1980">
        <v>38777</v>
      </c>
      <c r="V121" s="1981" t="s">
        <v>73</v>
      </c>
      <c r="W121" s="1981" t="s">
        <v>154</v>
      </c>
      <c r="X121" s="1973">
        <f t="shared" ca="1" si="13"/>
        <v>6.8888888888888893</v>
      </c>
      <c r="Y121" s="48"/>
    </row>
    <row r="122" spans="1:25" ht="12" customHeight="1">
      <c r="A122" s="48">
        <v>110</v>
      </c>
      <c r="B122" s="2413" t="s">
        <v>1820</v>
      </c>
      <c r="C122" s="1963" t="s">
        <v>288</v>
      </c>
      <c r="D122" s="2605"/>
      <c r="E122" s="3058">
        <f t="shared" si="11"/>
        <v>2213279774</v>
      </c>
      <c r="F122" s="3090">
        <f t="shared" si="12"/>
        <v>129.11887435900863</v>
      </c>
      <c r="G122" s="2614"/>
      <c r="H122" s="2615"/>
      <c r="I122" s="1857">
        <v>88453159</v>
      </c>
      <c r="J122" s="1857">
        <v>111799089</v>
      </c>
      <c r="K122" s="1857">
        <v>17769844</v>
      </c>
      <c r="L122" s="1857">
        <v>315205871</v>
      </c>
      <c r="M122" s="1857">
        <v>596197591</v>
      </c>
      <c r="N122" s="1857">
        <v>490123917</v>
      </c>
      <c r="O122" s="1850">
        <v>347307421</v>
      </c>
      <c r="P122" s="1857">
        <v>39743605</v>
      </c>
      <c r="Q122" s="1857">
        <v>206679277</v>
      </c>
      <c r="R122" s="2540" t="s">
        <v>289</v>
      </c>
      <c r="S122" s="2554" t="s">
        <v>76</v>
      </c>
      <c r="T122" s="2567">
        <v>1</v>
      </c>
      <c r="U122" s="2579">
        <v>38057</v>
      </c>
      <c r="V122" s="2591" t="s">
        <v>167</v>
      </c>
      <c r="W122" s="2591" t="s">
        <v>290</v>
      </c>
      <c r="X122" s="1967">
        <f t="shared" ca="1" si="13"/>
        <v>8.8611111111111107</v>
      </c>
      <c r="Y122" s="48">
        <v>110</v>
      </c>
    </row>
    <row r="123" spans="1:25" ht="12" customHeight="1">
      <c r="A123" s="48"/>
      <c r="B123" s="1440" t="s">
        <v>47</v>
      </c>
      <c r="C123" s="2606" t="s">
        <v>821</v>
      </c>
      <c r="D123" s="2607"/>
      <c r="E123" s="2286">
        <f t="shared" si="11"/>
        <v>2173773424</v>
      </c>
      <c r="F123" s="3090">
        <f t="shared" si="12"/>
        <v>129.12837384083255</v>
      </c>
      <c r="G123" s="2341"/>
      <c r="H123" s="1714"/>
      <c r="I123" s="1604">
        <v>99321796</v>
      </c>
      <c r="J123" s="1604">
        <v>116097070</v>
      </c>
      <c r="K123" s="1604">
        <v>17517521</v>
      </c>
      <c r="L123" s="1674">
        <v>308767288</v>
      </c>
      <c r="M123" s="1674">
        <v>591173241</v>
      </c>
      <c r="N123" s="1674">
        <v>486368507</v>
      </c>
      <c r="O123" s="1604">
        <v>324381207</v>
      </c>
      <c r="P123" s="1674">
        <v>41294540</v>
      </c>
      <c r="Q123" s="1674">
        <v>188852254</v>
      </c>
      <c r="R123" s="291" t="s">
        <v>227</v>
      </c>
      <c r="S123" s="308" t="s">
        <v>76</v>
      </c>
      <c r="T123" s="908">
        <v>1</v>
      </c>
      <c r="U123" s="1620">
        <v>39168</v>
      </c>
      <c r="V123" s="447" t="s">
        <v>89</v>
      </c>
      <c r="W123" s="447" t="s">
        <v>228</v>
      </c>
      <c r="X123" s="849">
        <f t="shared" ca="1" si="13"/>
        <v>5.8166666666666664</v>
      </c>
      <c r="Y123" s="48"/>
    </row>
    <row r="124" spans="1:25" ht="12" customHeight="1">
      <c r="A124" s="48">
        <v>112</v>
      </c>
      <c r="B124" s="462" t="s">
        <v>47</v>
      </c>
      <c r="C124" s="2608" t="s">
        <v>260</v>
      </c>
      <c r="D124" s="1468"/>
      <c r="E124" s="2609">
        <f t="shared" ref="E124:E185" si="14">SUM(I124:Q124)</f>
        <v>2178843329</v>
      </c>
      <c r="F124" s="3090">
        <f t="shared" ref="F124:F185" si="15">SUM(I124/I$11,J124/J$11,K124/K$11,L124/L$11,M124/M$11,N124/N$11,O124/O$11,P124/P$11,Q124/Q$11)/9*100</f>
        <v>129.14741520139805</v>
      </c>
      <c r="G124" s="2616"/>
      <c r="H124" s="1715"/>
      <c r="I124" s="1697">
        <v>93975456</v>
      </c>
      <c r="J124" s="1697">
        <v>115630396</v>
      </c>
      <c r="K124" s="1697">
        <v>17373185</v>
      </c>
      <c r="L124" s="1697">
        <v>309751586</v>
      </c>
      <c r="M124" s="1697">
        <v>593767607</v>
      </c>
      <c r="N124" s="1697">
        <v>488747044</v>
      </c>
      <c r="O124" s="1697">
        <v>321144028</v>
      </c>
      <c r="P124" s="1697">
        <v>42873280</v>
      </c>
      <c r="Q124" s="1697">
        <v>195580747</v>
      </c>
      <c r="R124" s="2620" t="s">
        <v>217</v>
      </c>
      <c r="S124" s="2621" t="s">
        <v>76</v>
      </c>
      <c r="T124" s="454">
        <v>1</v>
      </c>
      <c r="U124" s="2622">
        <v>38998</v>
      </c>
      <c r="V124" s="455" t="s">
        <v>82</v>
      </c>
      <c r="W124" s="455" t="s">
        <v>218</v>
      </c>
      <c r="X124" s="850">
        <f t="shared" ca="1" si="13"/>
        <v>6.2861111111111114</v>
      </c>
      <c r="Y124" s="48">
        <v>112</v>
      </c>
    </row>
    <row r="125" spans="1:25" ht="12" customHeight="1">
      <c r="A125" s="48"/>
      <c r="B125" s="1440" t="s">
        <v>47</v>
      </c>
      <c r="C125" s="299" t="s">
        <v>815</v>
      </c>
      <c r="D125" s="456"/>
      <c r="E125" s="1719">
        <f t="shared" si="14"/>
        <v>2221350660</v>
      </c>
      <c r="F125" s="3090">
        <f t="shared" si="15"/>
        <v>129.11170538610278</v>
      </c>
      <c r="G125" s="2344"/>
      <c r="H125" s="1717"/>
      <c r="I125" s="1604">
        <v>83551468</v>
      </c>
      <c r="J125" s="1604">
        <v>92542197</v>
      </c>
      <c r="K125" s="1604">
        <v>19421659</v>
      </c>
      <c r="L125" s="1604">
        <v>333058917</v>
      </c>
      <c r="M125" s="1604">
        <v>577386391</v>
      </c>
      <c r="N125" s="1604">
        <v>486834411</v>
      </c>
      <c r="O125" s="1604">
        <v>350236285</v>
      </c>
      <c r="P125" s="1604">
        <v>39946795</v>
      </c>
      <c r="Q125" s="1604">
        <v>238372537</v>
      </c>
      <c r="R125" s="298" t="s">
        <v>812</v>
      </c>
      <c r="S125" s="306" t="s">
        <v>76</v>
      </c>
      <c r="T125" s="461">
        <v>1</v>
      </c>
      <c r="U125" s="1617">
        <v>40079</v>
      </c>
      <c r="V125" s="457" t="s">
        <v>86</v>
      </c>
      <c r="W125" s="457" t="s">
        <v>1047</v>
      </c>
      <c r="X125" s="849">
        <f t="shared" ref="X125:X186" ca="1" si="16">YEARFRAC(U125,X$6)</f>
        <v>3.3277777777777779</v>
      </c>
      <c r="Y125" s="48"/>
    </row>
    <row r="126" spans="1:25" ht="12" customHeight="1">
      <c r="A126" s="48">
        <v>114</v>
      </c>
      <c r="B126" s="459" t="s">
        <v>47</v>
      </c>
      <c r="C126" s="893" t="s">
        <v>1217</v>
      </c>
      <c r="D126" s="446" t="s">
        <v>46</v>
      </c>
      <c r="E126" s="2610">
        <f t="shared" si="14"/>
        <v>2186118891</v>
      </c>
      <c r="F126" s="3090">
        <f t="shared" si="15"/>
        <v>129.12747177096236</v>
      </c>
      <c r="G126" s="2617">
        <f>113.7+150.8+0+441.9+234.1+185.8+247.7+52.6+261.7</f>
        <v>1688.3</v>
      </c>
      <c r="H126" s="2618"/>
      <c r="I126" s="1612">
        <v>91922118</v>
      </c>
      <c r="J126" s="1612">
        <v>106399945</v>
      </c>
      <c r="K126" s="1612">
        <v>17857884</v>
      </c>
      <c r="L126" s="1612">
        <v>314421356</v>
      </c>
      <c r="M126" s="1612">
        <v>589988079</v>
      </c>
      <c r="N126" s="1612">
        <v>486967963</v>
      </c>
      <c r="O126" s="1697">
        <v>325999649</v>
      </c>
      <c r="P126" s="1612">
        <v>43408175</v>
      </c>
      <c r="Q126" s="1728">
        <v>209153722</v>
      </c>
      <c r="R126" s="293" t="s">
        <v>279</v>
      </c>
      <c r="S126" s="1476" t="s">
        <v>76</v>
      </c>
      <c r="T126" s="1481">
        <v>1</v>
      </c>
      <c r="U126" s="1618">
        <v>37798</v>
      </c>
      <c r="V126" s="451" t="s">
        <v>82</v>
      </c>
      <c r="W126" s="451" t="s">
        <v>1218</v>
      </c>
      <c r="X126" s="850">
        <f t="shared" ca="1" si="16"/>
        <v>9.5694444444444446</v>
      </c>
      <c r="Y126" s="48">
        <v>114</v>
      </c>
    </row>
    <row r="127" spans="1:25" ht="12" customHeight="1">
      <c r="A127" s="48"/>
      <c r="B127" s="1440" t="s">
        <v>47</v>
      </c>
      <c r="C127" s="1451" t="s">
        <v>258</v>
      </c>
      <c r="D127" s="1467"/>
      <c r="E127" s="2285">
        <f t="shared" si="14"/>
        <v>2189159439</v>
      </c>
      <c r="F127" s="3090">
        <f t="shared" si="15"/>
        <v>129.17495561829395</v>
      </c>
      <c r="G127" s="2345"/>
      <c r="H127" s="1718"/>
      <c r="I127" s="1674">
        <v>95101336</v>
      </c>
      <c r="J127" s="1674">
        <v>119353441</v>
      </c>
      <c r="K127" s="1674">
        <v>17580136</v>
      </c>
      <c r="L127" s="1674">
        <v>308911519</v>
      </c>
      <c r="M127" s="1674">
        <v>601489992</v>
      </c>
      <c r="N127" s="1674">
        <v>490448245</v>
      </c>
      <c r="O127" s="1604">
        <v>321867467</v>
      </c>
      <c r="P127" s="1674">
        <v>39994251</v>
      </c>
      <c r="Q127" s="1674">
        <v>194413052</v>
      </c>
      <c r="R127" s="300" t="s">
        <v>259</v>
      </c>
      <c r="S127" s="301" t="s">
        <v>76</v>
      </c>
      <c r="T127" s="463">
        <v>1</v>
      </c>
      <c r="U127" s="1622">
        <v>37521</v>
      </c>
      <c r="V127" s="458" t="s">
        <v>82</v>
      </c>
      <c r="W127" s="458" t="s">
        <v>218</v>
      </c>
      <c r="X127" s="849">
        <f t="shared" ca="1" si="16"/>
        <v>10.330555555555556</v>
      </c>
      <c r="Y127" s="48"/>
    </row>
    <row r="128" spans="1:25" ht="12" customHeight="1">
      <c r="A128" s="48">
        <v>116</v>
      </c>
      <c r="B128" s="462" t="s">
        <v>47</v>
      </c>
      <c r="C128" s="1375" t="s">
        <v>263</v>
      </c>
      <c r="D128" s="2611"/>
      <c r="E128" s="2609">
        <f t="shared" si="14"/>
        <v>2188121241</v>
      </c>
      <c r="F128" s="3090">
        <f t="shared" si="15"/>
        <v>129.38368542389051</v>
      </c>
      <c r="G128" s="2616"/>
      <c r="H128" s="1715"/>
      <c r="I128" s="1612">
        <v>94520222</v>
      </c>
      <c r="J128" s="1612">
        <v>115922733</v>
      </c>
      <c r="K128" s="1612">
        <v>17609053</v>
      </c>
      <c r="L128" s="1612">
        <v>311868301</v>
      </c>
      <c r="M128" s="1612">
        <v>593027830</v>
      </c>
      <c r="N128" s="1612">
        <v>485653639</v>
      </c>
      <c r="O128" s="1697">
        <v>323092232</v>
      </c>
      <c r="P128" s="1612">
        <v>40252099</v>
      </c>
      <c r="Q128" s="1612">
        <v>206175132</v>
      </c>
      <c r="R128" s="296" t="s">
        <v>264</v>
      </c>
      <c r="S128" s="297" t="s">
        <v>76</v>
      </c>
      <c r="T128" s="454">
        <v>1</v>
      </c>
      <c r="U128" s="2622">
        <v>37906</v>
      </c>
      <c r="V128" s="455" t="s">
        <v>84</v>
      </c>
      <c r="W128" s="455" t="s">
        <v>265</v>
      </c>
      <c r="X128" s="850">
        <f t="shared" ca="1" si="16"/>
        <v>9.2750000000000004</v>
      </c>
      <c r="Y128" s="48">
        <v>116</v>
      </c>
    </row>
    <row r="129" spans="1:25" ht="12" customHeight="1">
      <c r="A129" s="48"/>
      <c r="B129" s="1370" t="s">
        <v>1820</v>
      </c>
      <c r="C129" s="302" t="s">
        <v>204</v>
      </c>
      <c r="D129" s="1377"/>
      <c r="E129" s="2284">
        <f t="shared" si="14"/>
        <v>2184724345</v>
      </c>
      <c r="F129" s="3090">
        <f t="shared" si="15"/>
        <v>129.46046279100574</v>
      </c>
      <c r="G129" s="2340"/>
      <c r="H129" s="1712"/>
      <c r="I129" s="1674">
        <v>78079262</v>
      </c>
      <c r="J129" s="1604">
        <v>132483665</v>
      </c>
      <c r="K129" s="1604">
        <v>17953869</v>
      </c>
      <c r="L129" s="1604">
        <v>292111030</v>
      </c>
      <c r="M129" s="1604">
        <v>585659904</v>
      </c>
      <c r="N129" s="1604">
        <v>464478633</v>
      </c>
      <c r="O129" s="1604">
        <v>359126052</v>
      </c>
      <c r="P129" s="1604">
        <v>37202616</v>
      </c>
      <c r="Q129" s="1604">
        <v>217629314</v>
      </c>
      <c r="R129" s="303" t="s">
        <v>133</v>
      </c>
      <c r="S129" s="304" t="s">
        <v>76</v>
      </c>
      <c r="T129" s="449">
        <v>1</v>
      </c>
      <c r="U129" s="1619">
        <v>38439</v>
      </c>
      <c r="V129" s="450" t="s">
        <v>89</v>
      </c>
      <c r="W129" s="450" t="s">
        <v>205</v>
      </c>
      <c r="X129" s="849">
        <f t="shared" ca="1" si="16"/>
        <v>7.8138888888888891</v>
      </c>
      <c r="Y129" s="48"/>
    </row>
    <row r="130" spans="1:25" ht="12" customHeight="1">
      <c r="A130" s="48">
        <v>118</v>
      </c>
      <c r="B130" s="1341" t="s">
        <v>1820</v>
      </c>
      <c r="C130" s="299" t="s">
        <v>1264</v>
      </c>
      <c r="D130" s="460"/>
      <c r="E130" s="3054">
        <f t="shared" si="14"/>
        <v>2250578441</v>
      </c>
      <c r="F130" s="3090">
        <f t="shared" si="15"/>
        <v>129.47089595634475</v>
      </c>
      <c r="G130" s="2345"/>
      <c r="H130" s="1718"/>
      <c r="I130" s="1674">
        <v>82722096</v>
      </c>
      <c r="J130" s="1604">
        <v>92940793</v>
      </c>
      <c r="K130" s="1674">
        <v>18387633</v>
      </c>
      <c r="L130" s="1674">
        <v>336825750</v>
      </c>
      <c r="M130" s="1674">
        <v>585387023</v>
      </c>
      <c r="N130" s="1674">
        <v>487583456</v>
      </c>
      <c r="O130" s="1604">
        <v>368694966</v>
      </c>
      <c r="P130" s="1604">
        <v>39667656</v>
      </c>
      <c r="Q130" s="1674">
        <v>238369068</v>
      </c>
      <c r="R130" s="298" t="s">
        <v>863</v>
      </c>
      <c r="S130" s="306" t="s">
        <v>76</v>
      </c>
      <c r="T130" s="461">
        <v>1</v>
      </c>
      <c r="U130" s="1617">
        <v>40493</v>
      </c>
      <c r="V130" s="457" t="s">
        <v>89</v>
      </c>
      <c r="W130" s="457" t="s">
        <v>864</v>
      </c>
      <c r="X130" s="850">
        <f t="shared" ca="1" si="16"/>
        <v>2.1944444444444446</v>
      </c>
      <c r="Y130" s="48">
        <v>118</v>
      </c>
    </row>
    <row r="131" spans="1:25" ht="12" customHeight="1">
      <c r="A131" s="48"/>
      <c r="B131" s="2416" t="s">
        <v>1820</v>
      </c>
      <c r="C131" s="2434" t="s">
        <v>1049</v>
      </c>
      <c r="D131" s="1469"/>
      <c r="E131" s="2484">
        <f t="shared" si="14"/>
        <v>2204858804</v>
      </c>
      <c r="F131" s="3090">
        <f t="shared" si="15"/>
        <v>129.56604360926988</v>
      </c>
      <c r="G131" s="2497">
        <f>140+191+0+549+328+156+234+815+419</f>
        <v>2832</v>
      </c>
      <c r="H131" s="2518"/>
      <c r="I131" s="1687">
        <v>84593213</v>
      </c>
      <c r="J131" s="1687">
        <v>93533161</v>
      </c>
      <c r="K131" s="1687">
        <v>20037271</v>
      </c>
      <c r="L131" s="1687">
        <v>341769413</v>
      </c>
      <c r="M131" s="1687">
        <v>585010169</v>
      </c>
      <c r="N131" s="1687">
        <v>489126332</v>
      </c>
      <c r="O131" s="1689">
        <v>300556906</v>
      </c>
      <c r="P131" s="1687">
        <v>41761190</v>
      </c>
      <c r="Q131" s="1687">
        <v>248471149</v>
      </c>
      <c r="R131" s="2544" t="s">
        <v>197</v>
      </c>
      <c r="S131" s="2558" t="s">
        <v>76</v>
      </c>
      <c r="T131" s="2572">
        <v>1</v>
      </c>
      <c r="U131" s="2582">
        <v>38411</v>
      </c>
      <c r="V131" s="2594" t="s">
        <v>84</v>
      </c>
      <c r="W131" s="2594" t="s">
        <v>1208</v>
      </c>
      <c r="X131" s="1909">
        <f t="shared" ca="1" si="16"/>
        <v>7.8916666666666666</v>
      </c>
      <c r="Y131" s="48"/>
    </row>
    <row r="132" spans="1:25" ht="12" customHeight="1">
      <c r="A132" s="48">
        <v>120</v>
      </c>
      <c r="B132" s="1574" t="s">
        <v>1820</v>
      </c>
      <c r="C132" s="313" t="s">
        <v>221</v>
      </c>
      <c r="D132" s="499" t="s">
        <v>46</v>
      </c>
      <c r="E132" s="1746">
        <f t="shared" si="14"/>
        <v>2201632469</v>
      </c>
      <c r="F132" s="3090">
        <f t="shared" si="15"/>
        <v>129.70350142118318</v>
      </c>
      <c r="G132" s="2348"/>
      <c r="H132" s="1724"/>
      <c r="I132" s="1603">
        <v>89898816</v>
      </c>
      <c r="J132" s="1674">
        <v>117485136</v>
      </c>
      <c r="K132" s="1674">
        <v>18438563</v>
      </c>
      <c r="L132" s="1674">
        <v>321300315</v>
      </c>
      <c r="M132" s="1674">
        <v>592810691</v>
      </c>
      <c r="N132" s="1674">
        <v>489285713</v>
      </c>
      <c r="O132" s="1604">
        <v>310995994</v>
      </c>
      <c r="P132" s="1674">
        <v>37513145</v>
      </c>
      <c r="Q132" s="1674">
        <v>223904096</v>
      </c>
      <c r="R132" s="314" t="s">
        <v>208</v>
      </c>
      <c r="S132" s="315" t="s">
        <v>76</v>
      </c>
      <c r="T132" s="468">
        <v>1</v>
      </c>
      <c r="U132" s="1625">
        <v>37692</v>
      </c>
      <c r="V132" s="469" t="s">
        <v>209</v>
      </c>
      <c r="W132" s="469" t="s">
        <v>1041</v>
      </c>
      <c r="X132" s="848">
        <f t="shared" ca="1" si="16"/>
        <v>9.8583333333333325</v>
      </c>
      <c r="Y132" s="48">
        <v>120</v>
      </c>
    </row>
    <row r="133" spans="1:25" ht="12" customHeight="1">
      <c r="A133" s="48"/>
      <c r="B133" s="498" t="s">
        <v>47</v>
      </c>
      <c r="C133" s="2433" t="s">
        <v>274</v>
      </c>
      <c r="D133" s="495" t="s">
        <v>46</v>
      </c>
      <c r="E133" s="3059">
        <f t="shared" si="14"/>
        <v>2250779861</v>
      </c>
      <c r="F133" s="3090">
        <f t="shared" si="15"/>
        <v>129.77385125006634</v>
      </c>
      <c r="G133" s="2496"/>
      <c r="H133" s="2516"/>
      <c r="I133" s="1703">
        <v>83857065</v>
      </c>
      <c r="J133" s="1687">
        <v>94890237</v>
      </c>
      <c r="K133" s="1687">
        <v>19344791</v>
      </c>
      <c r="L133" s="1687">
        <v>324796871</v>
      </c>
      <c r="M133" s="1687">
        <v>590934557</v>
      </c>
      <c r="N133" s="1687">
        <v>490819022</v>
      </c>
      <c r="O133" s="1689">
        <v>378820758</v>
      </c>
      <c r="P133" s="1687">
        <v>39025872</v>
      </c>
      <c r="Q133" s="1687">
        <v>228290688</v>
      </c>
      <c r="R133" s="2543" t="s">
        <v>233</v>
      </c>
      <c r="S133" s="2556" t="s">
        <v>76</v>
      </c>
      <c r="T133" s="2570">
        <v>1</v>
      </c>
      <c r="U133" s="2581">
        <v>39766</v>
      </c>
      <c r="V133" s="2593" t="s">
        <v>82</v>
      </c>
      <c r="W133" s="2593" t="s">
        <v>275</v>
      </c>
      <c r="X133" s="847">
        <f t="shared" ca="1" si="16"/>
        <v>4.1861111111111109</v>
      </c>
      <c r="Y133" s="48"/>
    </row>
    <row r="134" spans="1:25" ht="12" customHeight="1">
      <c r="A134" s="48">
        <v>122</v>
      </c>
      <c r="B134" s="497" t="s">
        <v>47</v>
      </c>
      <c r="C134" s="1376" t="s">
        <v>249</v>
      </c>
      <c r="D134" s="486"/>
      <c r="E134" s="2291">
        <f t="shared" si="14"/>
        <v>2192212983</v>
      </c>
      <c r="F134" s="3090">
        <f t="shared" si="15"/>
        <v>129.85388596441706</v>
      </c>
      <c r="G134" s="2365"/>
      <c r="H134" s="1723"/>
      <c r="I134" s="1608">
        <v>97050581</v>
      </c>
      <c r="J134" s="1612">
        <v>113605203</v>
      </c>
      <c r="K134" s="1612">
        <v>17258015</v>
      </c>
      <c r="L134" s="1612">
        <v>306667317</v>
      </c>
      <c r="M134" s="1612">
        <v>590126320</v>
      </c>
      <c r="N134" s="1612">
        <v>485300139</v>
      </c>
      <c r="O134" s="1697">
        <v>331444892</v>
      </c>
      <c r="P134" s="1612">
        <v>41160241</v>
      </c>
      <c r="Q134" s="1612">
        <v>209600275</v>
      </c>
      <c r="R134" s="321" t="s">
        <v>135</v>
      </c>
      <c r="S134" s="330" t="s">
        <v>72</v>
      </c>
      <c r="T134" s="476">
        <v>1</v>
      </c>
      <c r="U134" s="1633">
        <v>39683</v>
      </c>
      <c r="V134" s="477" t="s">
        <v>73</v>
      </c>
      <c r="W134" s="477" t="s">
        <v>250</v>
      </c>
      <c r="X134" s="848">
        <f t="shared" ca="1" si="16"/>
        <v>4.4111111111111114</v>
      </c>
      <c r="Y134" s="48">
        <v>122</v>
      </c>
    </row>
    <row r="135" spans="1:25" ht="12" customHeight="1">
      <c r="A135" s="48"/>
      <c r="B135" s="498" t="s">
        <v>47</v>
      </c>
      <c r="C135" s="328" t="s">
        <v>180</v>
      </c>
      <c r="D135" s="484"/>
      <c r="E135" s="1745">
        <f t="shared" si="14"/>
        <v>2178968035</v>
      </c>
      <c r="F135" s="3090">
        <f t="shared" si="15"/>
        <v>130.09135535143741</v>
      </c>
      <c r="G135" s="2364"/>
      <c r="H135" s="1734"/>
      <c r="I135" s="1603">
        <v>98459784</v>
      </c>
      <c r="J135" s="1674">
        <v>113861705</v>
      </c>
      <c r="K135" s="1674">
        <v>17887301</v>
      </c>
      <c r="L135" s="1674">
        <v>314419309</v>
      </c>
      <c r="M135" s="1674">
        <v>588280135</v>
      </c>
      <c r="N135" s="1674">
        <v>485809683</v>
      </c>
      <c r="O135" s="1604">
        <v>324974451</v>
      </c>
      <c r="P135" s="1674">
        <v>43596595</v>
      </c>
      <c r="Q135" s="1674">
        <v>191679072</v>
      </c>
      <c r="R135" s="324" t="s">
        <v>181</v>
      </c>
      <c r="S135" s="325" t="s">
        <v>76</v>
      </c>
      <c r="T135" s="479">
        <v>1</v>
      </c>
      <c r="U135" s="1634">
        <v>39559</v>
      </c>
      <c r="V135" s="480" t="s">
        <v>129</v>
      </c>
      <c r="W135" s="480" t="s">
        <v>182</v>
      </c>
      <c r="X135" s="847">
        <f t="shared" ca="1" si="16"/>
        <v>4.75</v>
      </c>
      <c r="Y135" s="48"/>
    </row>
    <row r="136" spans="1:25" ht="12" customHeight="1">
      <c r="A136" s="48">
        <v>124</v>
      </c>
      <c r="B136" s="502" t="s">
        <v>47</v>
      </c>
      <c r="C136" s="927" t="s">
        <v>1878</v>
      </c>
      <c r="D136" s="464" t="s">
        <v>46</v>
      </c>
      <c r="E136" s="2292">
        <f t="shared" si="14"/>
        <v>2248527037</v>
      </c>
      <c r="F136" s="3090">
        <f t="shared" si="15"/>
        <v>130.25004789515032</v>
      </c>
      <c r="G136" s="2352">
        <f>89.3+133.8+0+156.3+111.1+240.8+88.1+659.3</f>
        <v>1478.6999999999998</v>
      </c>
      <c r="H136" s="1732"/>
      <c r="I136" s="1608">
        <v>86789014</v>
      </c>
      <c r="J136" s="1697">
        <v>100747414</v>
      </c>
      <c r="K136" s="1697">
        <v>18984831</v>
      </c>
      <c r="L136" s="1697">
        <v>317612755</v>
      </c>
      <c r="M136" s="1697">
        <v>594851807</v>
      </c>
      <c r="N136" s="1697">
        <v>485958021</v>
      </c>
      <c r="O136" s="1697">
        <v>396290778</v>
      </c>
      <c r="P136" s="1697">
        <v>40117844</v>
      </c>
      <c r="Q136" s="1697">
        <v>207174573</v>
      </c>
      <c r="R136" s="333" t="s">
        <v>1499</v>
      </c>
      <c r="S136" s="334" t="s">
        <v>76</v>
      </c>
      <c r="T136" s="2568">
        <v>2</v>
      </c>
      <c r="U136" s="1629">
        <v>41261</v>
      </c>
      <c r="V136" s="492" t="s">
        <v>86</v>
      </c>
      <c r="W136" s="492" t="s">
        <v>351</v>
      </c>
      <c r="X136" s="848">
        <f t="shared" ca="1" si="16"/>
        <v>9.166666666666666E-2</v>
      </c>
      <c r="Y136" s="48">
        <v>124</v>
      </c>
    </row>
    <row r="137" spans="1:25" ht="12" customHeight="1">
      <c r="A137" s="48"/>
      <c r="B137" s="505" t="s">
        <v>47</v>
      </c>
      <c r="C137" s="347" t="s">
        <v>213</v>
      </c>
      <c r="D137" s="499" t="s">
        <v>46</v>
      </c>
      <c r="E137" s="1741">
        <f t="shared" si="14"/>
        <v>2255477007</v>
      </c>
      <c r="F137" s="3090">
        <f t="shared" si="15"/>
        <v>130.3081448579203</v>
      </c>
      <c r="G137" s="2364"/>
      <c r="H137" s="1734"/>
      <c r="I137" s="1604">
        <v>79546036</v>
      </c>
      <c r="J137" s="1604">
        <v>92280013</v>
      </c>
      <c r="K137" s="1604">
        <v>20003780</v>
      </c>
      <c r="L137" s="1604">
        <v>338914222</v>
      </c>
      <c r="M137" s="1604">
        <v>582182218</v>
      </c>
      <c r="N137" s="1604">
        <v>489857886</v>
      </c>
      <c r="O137" s="1604">
        <v>369181487</v>
      </c>
      <c r="P137" s="1604">
        <v>39307816</v>
      </c>
      <c r="Q137" s="1604">
        <v>244203549</v>
      </c>
      <c r="R137" s="331" t="s">
        <v>214</v>
      </c>
      <c r="S137" s="332" t="s">
        <v>76</v>
      </c>
      <c r="T137" s="1483">
        <v>4</v>
      </c>
      <c r="U137" s="1636">
        <v>39551</v>
      </c>
      <c r="V137" s="489" t="s">
        <v>82</v>
      </c>
      <c r="W137" s="489" t="s">
        <v>215</v>
      </c>
      <c r="X137" s="847">
        <f t="shared" ca="1" si="16"/>
        <v>4.7722222222222221</v>
      </c>
      <c r="Y137" s="48"/>
    </row>
    <row r="138" spans="1:25" ht="12" customHeight="1">
      <c r="A138" s="48">
        <v>126</v>
      </c>
      <c r="B138" s="483" t="s">
        <v>47</v>
      </c>
      <c r="C138" s="328" t="s">
        <v>808</v>
      </c>
      <c r="D138" s="484"/>
      <c r="E138" s="1745">
        <f t="shared" si="14"/>
        <v>2211516115</v>
      </c>
      <c r="F138" s="3090">
        <f t="shared" si="15"/>
        <v>130.37392292442323</v>
      </c>
      <c r="G138" s="2359"/>
      <c r="H138" s="1731"/>
      <c r="I138" s="1681">
        <v>89136251</v>
      </c>
      <c r="J138" s="1604">
        <v>110134915</v>
      </c>
      <c r="K138" s="1604">
        <v>19032196</v>
      </c>
      <c r="L138" s="1604">
        <v>311569828</v>
      </c>
      <c r="M138" s="1604">
        <v>594752241</v>
      </c>
      <c r="N138" s="1604">
        <v>495687475</v>
      </c>
      <c r="O138" s="1604">
        <v>340024410</v>
      </c>
      <c r="P138" s="1604">
        <v>41936353</v>
      </c>
      <c r="Q138" s="1604">
        <v>209242446</v>
      </c>
      <c r="R138" s="324" t="s">
        <v>256</v>
      </c>
      <c r="S138" s="325" t="s">
        <v>76</v>
      </c>
      <c r="T138" s="479">
        <v>1</v>
      </c>
      <c r="U138" s="1634">
        <v>39932</v>
      </c>
      <c r="V138" s="480" t="s">
        <v>129</v>
      </c>
      <c r="W138" s="480" t="s">
        <v>1052</v>
      </c>
      <c r="X138" s="848">
        <f t="shared" ca="1" si="16"/>
        <v>3.7277777777777779</v>
      </c>
      <c r="Y138" s="48">
        <v>126</v>
      </c>
    </row>
    <row r="139" spans="1:25" ht="12" customHeight="1">
      <c r="A139" s="48"/>
      <c r="B139" s="2417" t="s">
        <v>1820</v>
      </c>
      <c r="C139" s="2436" t="s">
        <v>203</v>
      </c>
      <c r="D139" s="2467"/>
      <c r="E139" s="3060">
        <f t="shared" si="14"/>
        <v>2250714862</v>
      </c>
      <c r="F139" s="3090">
        <f t="shared" si="15"/>
        <v>130.65385201693536</v>
      </c>
      <c r="G139" s="2358"/>
      <c r="H139" s="1720"/>
      <c r="I139" s="1693">
        <v>82668672</v>
      </c>
      <c r="J139" s="1687">
        <v>94234024</v>
      </c>
      <c r="K139" s="1687">
        <v>18624414</v>
      </c>
      <c r="L139" s="1687">
        <v>336598116</v>
      </c>
      <c r="M139" s="1687">
        <v>583949019</v>
      </c>
      <c r="N139" s="1687">
        <v>487684183</v>
      </c>
      <c r="O139" s="1689">
        <v>366828877</v>
      </c>
      <c r="P139" s="1687">
        <v>42498235</v>
      </c>
      <c r="Q139" s="1687">
        <v>237629322</v>
      </c>
      <c r="R139" s="1472" t="s">
        <v>107</v>
      </c>
      <c r="S139" s="1477" t="s">
        <v>76</v>
      </c>
      <c r="T139" s="1482">
        <v>1</v>
      </c>
      <c r="U139" s="1635">
        <v>37825</v>
      </c>
      <c r="V139" s="1487" t="s">
        <v>84</v>
      </c>
      <c r="W139" s="1487" t="s">
        <v>1054</v>
      </c>
      <c r="X139" s="847">
        <f t="shared" ca="1" si="16"/>
        <v>9.4944444444444436</v>
      </c>
      <c r="Y139" s="48"/>
    </row>
    <row r="140" spans="1:25" ht="12" customHeight="1">
      <c r="A140" s="48">
        <v>128</v>
      </c>
      <c r="B140" s="1442" t="s">
        <v>1820</v>
      </c>
      <c r="C140" s="903" t="s">
        <v>1032</v>
      </c>
      <c r="D140" s="464" t="s">
        <v>46</v>
      </c>
      <c r="E140" s="2290">
        <f t="shared" si="14"/>
        <v>2124477870</v>
      </c>
      <c r="F140" s="3090">
        <f t="shared" si="15"/>
        <v>130.27140234157991</v>
      </c>
      <c r="G140" s="2351"/>
      <c r="H140" s="1727"/>
      <c r="I140" s="1678">
        <v>82924389</v>
      </c>
      <c r="J140" s="1697">
        <v>96006788</v>
      </c>
      <c r="K140" s="1697">
        <v>33686178</v>
      </c>
      <c r="L140" s="1612">
        <v>298267270</v>
      </c>
      <c r="M140" s="1697">
        <v>593584313</v>
      </c>
      <c r="N140" s="1612">
        <v>488392823</v>
      </c>
      <c r="O140" s="1697">
        <v>325177589</v>
      </c>
      <c r="P140" s="1697">
        <v>36045184</v>
      </c>
      <c r="Q140" s="1697">
        <v>170393336</v>
      </c>
      <c r="R140" s="351" t="s">
        <v>187</v>
      </c>
      <c r="S140" s="352" t="s">
        <v>76</v>
      </c>
      <c r="T140" s="508">
        <v>1</v>
      </c>
      <c r="U140" s="1628">
        <v>38618</v>
      </c>
      <c r="V140" s="509" t="s">
        <v>82</v>
      </c>
      <c r="W140" s="509" t="s">
        <v>188</v>
      </c>
      <c r="X140" s="848">
        <f t="shared" ca="1" si="16"/>
        <v>7.3277777777777775</v>
      </c>
      <c r="Y140" s="48">
        <v>128</v>
      </c>
    </row>
    <row r="141" spans="1:25" ht="12" customHeight="1">
      <c r="A141" s="48"/>
      <c r="B141" s="498" t="s">
        <v>47</v>
      </c>
      <c r="C141" s="829" t="s">
        <v>1879</v>
      </c>
      <c r="D141" s="499" t="s">
        <v>46</v>
      </c>
      <c r="E141" s="1745">
        <f t="shared" si="14"/>
        <v>2248662622</v>
      </c>
      <c r="F141" s="3090">
        <f t="shared" si="15"/>
        <v>130.90432357929183</v>
      </c>
      <c r="G141" s="2354">
        <f>99.4+132.7+0+407.3+354.9+295.2+403.7+71.2+524.8</f>
        <v>2289.1999999999998</v>
      </c>
      <c r="H141" s="1731"/>
      <c r="I141" s="1681">
        <v>87191781</v>
      </c>
      <c r="J141" s="1604">
        <v>103283915</v>
      </c>
      <c r="K141" s="1604">
        <v>19239846</v>
      </c>
      <c r="L141" s="1604">
        <v>322560032</v>
      </c>
      <c r="M141" s="1604">
        <v>588229478</v>
      </c>
      <c r="N141" s="1604">
        <v>490041425</v>
      </c>
      <c r="O141" s="1604">
        <v>390529976</v>
      </c>
      <c r="P141" s="1604">
        <v>40415543</v>
      </c>
      <c r="Q141" s="1604">
        <v>207170626</v>
      </c>
      <c r="R141" s="324" t="s">
        <v>1755</v>
      </c>
      <c r="S141" s="325" t="s">
        <v>76</v>
      </c>
      <c r="T141" s="510">
        <v>2</v>
      </c>
      <c r="U141" s="1634">
        <v>41260</v>
      </c>
      <c r="V141" s="480" t="s">
        <v>86</v>
      </c>
      <c r="W141" s="480" t="s">
        <v>351</v>
      </c>
      <c r="X141" s="847">
        <f t="shared" ca="1" si="16"/>
        <v>9.4444444444444442E-2</v>
      </c>
      <c r="Y141" s="48"/>
    </row>
    <row r="142" spans="1:25" ht="12" customHeight="1">
      <c r="A142" s="48">
        <v>130</v>
      </c>
      <c r="B142" s="860" t="s">
        <v>47</v>
      </c>
      <c r="C142" s="1872" t="s">
        <v>293</v>
      </c>
      <c r="D142" s="1575"/>
      <c r="E142" s="2296">
        <f t="shared" si="14"/>
        <v>2267999016</v>
      </c>
      <c r="F142" s="3090">
        <f t="shared" si="15"/>
        <v>130.95377006811822</v>
      </c>
      <c r="G142" s="2362"/>
      <c r="H142" s="1736"/>
      <c r="I142" s="1681">
        <v>87258871</v>
      </c>
      <c r="J142" s="1604">
        <v>109098390</v>
      </c>
      <c r="K142" s="1604">
        <v>18622367</v>
      </c>
      <c r="L142" s="1604">
        <v>319122704</v>
      </c>
      <c r="M142" s="1604">
        <v>619656890</v>
      </c>
      <c r="N142" s="1604">
        <v>509076696</v>
      </c>
      <c r="O142" s="1604">
        <v>355077076</v>
      </c>
      <c r="P142" s="1604">
        <v>40147922</v>
      </c>
      <c r="Q142" s="1604">
        <v>209938100</v>
      </c>
      <c r="R142" s="336" t="s">
        <v>294</v>
      </c>
      <c r="S142" s="337" t="s">
        <v>76</v>
      </c>
      <c r="T142" s="493">
        <v>1</v>
      </c>
      <c r="U142" s="1630">
        <v>39342</v>
      </c>
      <c r="V142" s="494" t="s">
        <v>84</v>
      </c>
      <c r="W142" s="494" t="s">
        <v>1195</v>
      </c>
      <c r="X142" s="848">
        <f t="shared" ca="1" si="16"/>
        <v>5.3444444444444441</v>
      </c>
      <c r="Y142" s="48">
        <v>130</v>
      </c>
    </row>
    <row r="143" spans="1:25" ht="12" customHeight="1">
      <c r="A143" s="48"/>
      <c r="B143" s="2415" t="s">
        <v>1820</v>
      </c>
      <c r="C143" s="316" t="s">
        <v>1252</v>
      </c>
      <c r="D143" s="1379"/>
      <c r="E143" s="2298">
        <f t="shared" si="14"/>
        <v>2225252705</v>
      </c>
      <c r="F143" s="3090">
        <f t="shared" si="15"/>
        <v>130.99887355146001</v>
      </c>
      <c r="G143" s="2369">
        <f>14+65+0+128+39+34+71+103+85</f>
        <v>539</v>
      </c>
      <c r="H143" s="1721">
        <f>6+20+0+33+8+8+14+48+9</f>
        <v>146</v>
      </c>
      <c r="I143" s="1702">
        <v>86238027</v>
      </c>
      <c r="J143" s="1689">
        <v>94047018</v>
      </c>
      <c r="K143" s="1689">
        <v>20620059</v>
      </c>
      <c r="L143" s="1689">
        <v>340920623</v>
      </c>
      <c r="M143" s="1689">
        <v>583872743</v>
      </c>
      <c r="N143" s="1689">
        <v>487786245</v>
      </c>
      <c r="O143" s="1689">
        <v>321674370</v>
      </c>
      <c r="P143" s="1689">
        <v>41149541</v>
      </c>
      <c r="Q143" s="1689">
        <v>248944079</v>
      </c>
      <c r="R143" s="329" t="s">
        <v>168</v>
      </c>
      <c r="S143" s="2557" t="s">
        <v>72</v>
      </c>
      <c r="T143" s="916">
        <v>8</v>
      </c>
      <c r="U143" s="1624">
        <v>41056</v>
      </c>
      <c r="V143" s="485" t="s">
        <v>82</v>
      </c>
      <c r="W143" s="485" t="s">
        <v>1208</v>
      </c>
      <c r="X143" s="847">
        <f t="shared" ca="1" si="16"/>
        <v>0.65</v>
      </c>
      <c r="Y143" s="48"/>
    </row>
    <row r="144" spans="1:25" ht="12" customHeight="1">
      <c r="A144" s="48">
        <v>132</v>
      </c>
      <c r="B144" s="1573" t="s">
        <v>1820</v>
      </c>
      <c r="C144" s="826" t="s">
        <v>1275</v>
      </c>
      <c r="D144" s="486"/>
      <c r="E144" s="2294">
        <f t="shared" si="14"/>
        <v>2225269263</v>
      </c>
      <c r="F144" s="3090">
        <f t="shared" si="15"/>
        <v>131.0018166638886</v>
      </c>
      <c r="G144" s="2356">
        <f>19+68+9+135+40+37+35+72+16+96+88</f>
        <v>615</v>
      </c>
      <c r="H144" s="1722">
        <f>15+24+0+49+19+13+22+57+17</f>
        <v>216</v>
      </c>
      <c r="I144" s="2528">
        <v>86239172</v>
      </c>
      <c r="J144" s="1697">
        <v>94055673</v>
      </c>
      <c r="K144" s="1697">
        <v>20620059</v>
      </c>
      <c r="L144" s="1697">
        <v>340923674</v>
      </c>
      <c r="M144" s="1697">
        <v>583872759</v>
      </c>
      <c r="N144" s="1697">
        <v>487786522</v>
      </c>
      <c r="O144" s="1706">
        <v>321674370</v>
      </c>
      <c r="P144" s="1706">
        <v>41152941</v>
      </c>
      <c r="Q144" s="1706">
        <v>248944093</v>
      </c>
      <c r="R144" s="321" t="s">
        <v>168</v>
      </c>
      <c r="S144" s="330" t="s">
        <v>72</v>
      </c>
      <c r="T144" s="2571">
        <v>8</v>
      </c>
      <c r="U144" s="1643">
        <v>41032</v>
      </c>
      <c r="V144" s="477" t="s">
        <v>82</v>
      </c>
      <c r="W144" s="477" t="s">
        <v>1208</v>
      </c>
      <c r="X144" s="848">
        <f t="shared" ca="1" si="16"/>
        <v>0.71666666666666667</v>
      </c>
      <c r="Y144" s="48">
        <v>132</v>
      </c>
    </row>
    <row r="145" spans="1:25" ht="12" customHeight="1">
      <c r="A145" s="48"/>
      <c r="B145" s="483" t="s">
        <v>47</v>
      </c>
      <c r="C145" s="902" t="s">
        <v>286</v>
      </c>
      <c r="D145" s="467"/>
      <c r="E145" s="1746">
        <f t="shared" si="14"/>
        <v>2226412139</v>
      </c>
      <c r="F145" s="3090">
        <f t="shared" si="15"/>
        <v>131.160947134998</v>
      </c>
      <c r="G145" s="2348"/>
      <c r="H145" s="1724"/>
      <c r="I145" s="1603">
        <v>91260607</v>
      </c>
      <c r="J145" s="1674">
        <v>116973994</v>
      </c>
      <c r="K145" s="1674">
        <v>17930985</v>
      </c>
      <c r="L145" s="1674">
        <v>314940885</v>
      </c>
      <c r="M145" s="1674">
        <v>594633767</v>
      </c>
      <c r="N145" s="1674">
        <v>488224484</v>
      </c>
      <c r="O145" s="1604">
        <v>351194794</v>
      </c>
      <c r="P145" s="1674">
        <v>40417939</v>
      </c>
      <c r="Q145" s="1674">
        <v>210834684</v>
      </c>
      <c r="R145" s="314" t="s">
        <v>287</v>
      </c>
      <c r="S145" s="315" t="s">
        <v>185</v>
      </c>
      <c r="T145" s="468">
        <v>1</v>
      </c>
      <c r="U145" s="1625">
        <v>35831</v>
      </c>
      <c r="V145" s="469" t="s">
        <v>138</v>
      </c>
      <c r="W145" s="469" t="s">
        <v>188</v>
      </c>
      <c r="X145" s="847">
        <f t="shared" ca="1" si="16"/>
        <v>14.96111111111111</v>
      </c>
      <c r="Y145" s="48"/>
    </row>
    <row r="146" spans="1:25" ht="12" customHeight="1">
      <c r="A146" s="48">
        <v>134</v>
      </c>
      <c r="B146" s="505" t="s">
        <v>47</v>
      </c>
      <c r="C146" s="348" t="s">
        <v>222</v>
      </c>
      <c r="D146" s="499" t="s">
        <v>46</v>
      </c>
      <c r="E146" s="1741">
        <f t="shared" si="14"/>
        <v>2223242188</v>
      </c>
      <c r="F146" s="3090">
        <f t="shared" si="15"/>
        <v>131.18746651254202</v>
      </c>
      <c r="G146" s="2362"/>
      <c r="H146" s="1736"/>
      <c r="I146" s="1674">
        <v>87997031</v>
      </c>
      <c r="J146" s="1674">
        <v>111877078</v>
      </c>
      <c r="K146" s="1674">
        <v>18294542</v>
      </c>
      <c r="L146" s="1674">
        <v>319754089</v>
      </c>
      <c r="M146" s="1674">
        <v>581460403</v>
      </c>
      <c r="N146" s="1674">
        <v>488286686</v>
      </c>
      <c r="O146" s="1604">
        <v>363360613</v>
      </c>
      <c r="P146" s="1674">
        <v>42566306</v>
      </c>
      <c r="Q146" s="1674">
        <v>209645440</v>
      </c>
      <c r="R146" s="331" t="s">
        <v>223</v>
      </c>
      <c r="S146" s="332" t="s">
        <v>76</v>
      </c>
      <c r="T146" s="488">
        <v>1</v>
      </c>
      <c r="U146" s="1636">
        <v>39315</v>
      </c>
      <c r="V146" s="489" t="s">
        <v>224</v>
      </c>
      <c r="W146" s="489" t="s">
        <v>225</v>
      </c>
      <c r="X146" s="848">
        <f t="shared" ca="1" si="16"/>
        <v>5.416666666666667</v>
      </c>
      <c r="Y146" s="48">
        <v>134</v>
      </c>
    </row>
    <row r="147" spans="1:25" ht="12" customHeight="1">
      <c r="A147" s="48"/>
      <c r="B147" s="1345" t="s">
        <v>1820</v>
      </c>
      <c r="C147" s="830" t="s">
        <v>1173</v>
      </c>
      <c r="D147" s="471"/>
      <c r="E147" s="2298">
        <f t="shared" si="14"/>
        <v>2161343609</v>
      </c>
      <c r="F147" s="3090">
        <f t="shared" si="15"/>
        <v>131.40974058577461</v>
      </c>
      <c r="G147" s="2366">
        <f>54+120+0+93+114+83+309+76+159</f>
        <v>1008</v>
      </c>
      <c r="H147" s="1738">
        <f>43+73+0+298+39+72+260+123+170</f>
        <v>1078</v>
      </c>
      <c r="I147" s="1702">
        <v>86464409</v>
      </c>
      <c r="J147" s="1687">
        <v>113745713</v>
      </c>
      <c r="K147" s="1687">
        <v>18395006</v>
      </c>
      <c r="L147" s="1687">
        <v>287887660</v>
      </c>
      <c r="M147" s="1687">
        <v>583318308</v>
      </c>
      <c r="N147" s="1687">
        <v>466050207</v>
      </c>
      <c r="O147" s="1689">
        <v>351595430</v>
      </c>
      <c r="P147" s="1687">
        <v>51171467</v>
      </c>
      <c r="Q147" s="1687">
        <v>202715409</v>
      </c>
      <c r="R147" s="317" t="s">
        <v>810</v>
      </c>
      <c r="S147" s="353" t="s">
        <v>72</v>
      </c>
      <c r="T147" s="2573">
        <v>8</v>
      </c>
      <c r="U147" s="1637">
        <v>41016</v>
      </c>
      <c r="V147" s="473" t="s">
        <v>89</v>
      </c>
      <c r="W147" s="473" t="s">
        <v>813</v>
      </c>
      <c r="X147" s="847">
        <f t="shared" ca="1" si="16"/>
        <v>0.76111111111111107</v>
      </c>
      <c r="Y147" s="48"/>
    </row>
    <row r="148" spans="1:25" ht="12" customHeight="1">
      <c r="A148" s="48">
        <v>136</v>
      </c>
      <c r="B148" s="474" t="s">
        <v>47</v>
      </c>
      <c r="C148" s="310" t="s">
        <v>276</v>
      </c>
      <c r="D148" s="481"/>
      <c r="E148" s="2297">
        <f t="shared" si="14"/>
        <v>2208147765</v>
      </c>
      <c r="F148" s="3090">
        <f t="shared" si="15"/>
        <v>131.50188102731195</v>
      </c>
      <c r="G148" s="2363"/>
      <c r="H148" s="1737"/>
      <c r="I148" s="1608">
        <v>95963547</v>
      </c>
      <c r="J148" s="1612">
        <v>115109749</v>
      </c>
      <c r="K148" s="1612">
        <v>18842729</v>
      </c>
      <c r="L148" s="1612">
        <v>315923570</v>
      </c>
      <c r="M148" s="1612">
        <v>593459230</v>
      </c>
      <c r="N148" s="1612">
        <v>488289367</v>
      </c>
      <c r="O148" s="1697">
        <v>331332413</v>
      </c>
      <c r="P148" s="1612">
        <v>41531113</v>
      </c>
      <c r="Q148" s="1612">
        <v>207696047</v>
      </c>
      <c r="R148" s="311" t="s">
        <v>277</v>
      </c>
      <c r="S148" s="312" t="s">
        <v>76</v>
      </c>
      <c r="T148" s="465">
        <v>1</v>
      </c>
      <c r="U148" s="1638">
        <v>36510</v>
      </c>
      <c r="V148" s="466" t="s">
        <v>89</v>
      </c>
      <c r="W148" s="466" t="s">
        <v>188</v>
      </c>
      <c r="X148" s="848">
        <f t="shared" ca="1" si="16"/>
        <v>13.097222222222221</v>
      </c>
      <c r="Y148" s="48">
        <v>136</v>
      </c>
    </row>
    <row r="149" spans="1:25" ht="12" customHeight="1">
      <c r="A149" s="48"/>
      <c r="B149" s="470" t="s">
        <v>47</v>
      </c>
      <c r="C149" s="316" t="s">
        <v>1253</v>
      </c>
      <c r="D149" s="471"/>
      <c r="E149" s="2485">
        <f t="shared" si="14"/>
        <v>2185786167</v>
      </c>
      <c r="F149" s="3090">
        <f t="shared" si="15"/>
        <v>131.5723366797784</v>
      </c>
      <c r="G149" s="2366">
        <f>14+18+0+49+38+29+14+11+147</f>
        <v>320</v>
      </c>
      <c r="H149" s="1735"/>
      <c r="I149" s="1702">
        <v>83048819</v>
      </c>
      <c r="J149" s="1689">
        <v>95021017</v>
      </c>
      <c r="K149" s="1689">
        <v>22308756</v>
      </c>
      <c r="L149" s="1689">
        <v>326122831</v>
      </c>
      <c r="M149" s="1689">
        <v>574792742</v>
      </c>
      <c r="N149" s="1689">
        <v>486796795</v>
      </c>
      <c r="O149" s="1689">
        <v>288783661</v>
      </c>
      <c r="P149" s="1689">
        <v>44067167</v>
      </c>
      <c r="Q149" s="1689">
        <v>264844379</v>
      </c>
      <c r="R149" s="317" t="s">
        <v>79</v>
      </c>
      <c r="S149" s="353" t="s">
        <v>72</v>
      </c>
      <c r="T149" s="2573">
        <v>4</v>
      </c>
      <c r="U149" s="1637">
        <v>40851</v>
      </c>
      <c r="V149" s="473" t="s">
        <v>80</v>
      </c>
      <c r="W149" s="473" t="s">
        <v>1048</v>
      </c>
      <c r="X149" s="847">
        <f t="shared" ca="1" si="16"/>
        <v>1.2138888888888888</v>
      </c>
      <c r="Y149" s="48"/>
    </row>
    <row r="150" spans="1:25" ht="12" customHeight="1">
      <c r="A150" s="48">
        <v>138</v>
      </c>
      <c r="B150" s="1573" t="s">
        <v>1820</v>
      </c>
      <c r="C150" s="319" t="s">
        <v>1063</v>
      </c>
      <c r="D150" s="486"/>
      <c r="E150" s="2291">
        <f t="shared" si="14"/>
        <v>2185780374</v>
      </c>
      <c r="F150" s="3090">
        <f t="shared" si="15"/>
        <v>131.57423888487125</v>
      </c>
      <c r="G150" s="2356">
        <f>16+21+0+49+38+29+51+11+144</f>
        <v>359</v>
      </c>
      <c r="H150" s="1723"/>
      <c r="I150" s="1678">
        <v>83049899</v>
      </c>
      <c r="J150" s="1697">
        <v>95021942</v>
      </c>
      <c r="K150" s="1697">
        <v>22308754</v>
      </c>
      <c r="L150" s="1697">
        <v>326123059</v>
      </c>
      <c r="M150" s="1697">
        <v>574786890</v>
      </c>
      <c r="N150" s="1697">
        <v>486790607</v>
      </c>
      <c r="O150" s="1697">
        <v>288782302</v>
      </c>
      <c r="P150" s="1697">
        <v>44072544</v>
      </c>
      <c r="Q150" s="1697">
        <v>264844377</v>
      </c>
      <c r="R150" s="321" t="s">
        <v>79</v>
      </c>
      <c r="S150" s="330" t="s">
        <v>72</v>
      </c>
      <c r="T150" s="859">
        <v>4</v>
      </c>
      <c r="U150" s="1633">
        <v>40332</v>
      </c>
      <c r="V150" s="477" t="s">
        <v>80</v>
      </c>
      <c r="W150" s="477" t="s">
        <v>1042</v>
      </c>
      <c r="X150" s="848">
        <f t="shared" ca="1" si="16"/>
        <v>2.6333333333333333</v>
      </c>
      <c r="Y150" s="48">
        <v>138</v>
      </c>
    </row>
    <row r="151" spans="1:25" ht="12" customHeight="1">
      <c r="A151" s="48"/>
      <c r="B151" s="498" t="s">
        <v>47</v>
      </c>
      <c r="C151" s="327" t="s">
        <v>232</v>
      </c>
      <c r="D151" s="484"/>
      <c r="E151" s="1745">
        <f t="shared" si="14"/>
        <v>2247179441</v>
      </c>
      <c r="F151" s="3090">
        <f t="shared" si="15"/>
        <v>131.68939040554056</v>
      </c>
      <c r="G151" s="2348"/>
      <c r="H151" s="1724"/>
      <c r="I151" s="1603">
        <v>85257750</v>
      </c>
      <c r="J151" s="1604">
        <v>105981478</v>
      </c>
      <c r="K151" s="1674">
        <v>20806073</v>
      </c>
      <c r="L151" s="1674">
        <v>321461252</v>
      </c>
      <c r="M151" s="1674">
        <v>589834526</v>
      </c>
      <c r="N151" s="1674">
        <v>488307108</v>
      </c>
      <c r="O151" s="1604">
        <v>378438292</v>
      </c>
      <c r="P151" s="1604">
        <v>38779655</v>
      </c>
      <c r="Q151" s="1674">
        <v>218313307</v>
      </c>
      <c r="R151" s="324" t="s">
        <v>233</v>
      </c>
      <c r="S151" s="325" t="s">
        <v>76</v>
      </c>
      <c r="T151" s="479">
        <v>1</v>
      </c>
      <c r="U151" s="1634">
        <v>39327</v>
      </c>
      <c r="V151" s="480" t="s">
        <v>82</v>
      </c>
      <c r="W151" s="480" t="s">
        <v>234</v>
      </c>
      <c r="X151" s="847">
        <f t="shared" ca="1" si="16"/>
        <v>5.3861111111111111</v>
      </c>
      <c r="Y151" s="48"/>
    </row>
    <row r="152" spans="1:25" ht="12" customHeight="1">
      <c r="A152" s="48">
        <v>140</v>
      </c>
      <c r="B152" s="498" t="s">
        <v>47</v>
      </c>
      <c r="C152" s="347" t="s">
        <v>1834</v>
      </c>
      <c r="D152" s="499" t="s">
        <v>46</v>
      </c>
      <c r="E152" s="1745">
        <f t="shared" si="14"/>
        <v>2256368364</v>
      </c>
      <c r="F152" s="3090">
        <f t="shared" si="15"/>
        <v>131.876176390555</v>
      </c>
      <c r="G152" s="2354">
        <f>108.2+198.8+0+317.9+138.4+108.7+301.4+179.3+1246.2</f>
        <v>2598.9</v>
      </c>
      <c r="H152" s="1729"/>
      <c r="I152" s="1681">
        <v>87256202</v>
      </c>
      <c r="J152" s="1604">
        <v>108980269</v>
      </c>
      <c r="K152" s="1604">
        <v>19010571</v>
      </c>
      <c r="L152" s="1604">
        <v>319984141</v>
      </c>
      <c r="M152" s="1604">
        <v>594061388</v>
      </c>
      <c r="N152" s="1604">
        <v>485900521</v>
      </c>
      <c r="O152" s="1604">
        <v>390506121</v>
      </c>
      <c r="P152" s="1604">
        <v>40572893</v>
      </c>
      <c r="Q152" s="1604">
        <v>210096258</v>
      </c>
      <c r="R152" s="324" t="s">
        <v>1499</v>
      </c>
      <c r="S152" s="325" t="s">
        <v>76</v>
      </c>
      <c r="T152" s="510">
        <v>2</v>
      </c>
      <c r="U152" s="1634">
        <v>41225</v>
      </c>
      <c r="V152" s="480" t="s">
        <v>86</v>
      </c>
      <c r="W152" s="480" t="s">
        <v>351</v>
      </c>
      <c r="X152" s="848">
        <f t="shared" ca="1" si="16"/>
        <v>0.19166666666666668</v>
      </c>
      <c r="Y152" s="48">
        <v>140</v>
      </c>
    </row>
    <row r="153" spans="1:25" ht="12" customHeight="1">
      <c r="A153" s="48"/>
      <c r="B153" s="2415" t="s">
        <v>1820</v>
      </c>
      <c r="C153" s="316" t="s">
        <v>1174</v>
      </c>
      <c r="D153" s="1379"/>
      <c r="E153" s="2298">
        <f t="shared" si="14"/>
        <v>2164223130</v>
      </c>
      <c r="F153" s="3090">
        <f t="shared" si="15"/>
        <v>131.80927533765492</v>
      </c>
      <c r="G153" s="2361"/>
      <c r="H153" s="1735"/>
      <c r="I153" s="1687">
        <v>86617593</v>
      </c>
      <c r="J153" s="1687">
        <v>114068434</v>
      </c>
      <c r="K153" s="1687">
        <v>18395190</v>
      </c>
      <c r="L153" s="1687">
        <v>287992261</v>
      </c>
      <c r="M153" s="1687">
        <v>584523077</v>
      </c>
      <c r="N153" s="1687">
        <v>466234013</v>
      </c>
      <c r="O153" s="1689">
        <v>351717891</v>
      </c>
      <c r="P153" s="1687">
        <v>51958902</v>
      </c>
      <c r="Q153" s="1687">
        <v>202715769</v>
      </c>
      <c r="R153" s="317" t="s">
        <v>143</v>
      </c>
      <c r="S153" s="318" t="s">
        <v>76</v>
      </c>
      <c r="T153" s="472">
        <v>1</v>
      </c>
      <c r="U153" s="1637">
        <v>39701</v>
      </c>
      <c r="V153" s="473" t="s">
        <v>89</v>
      </c>
      <c r="W153" s="473" t="s">
        <v>813</v>
      </c>
      <c r="X153" s="847">
        <f t="shared" ca="1" si="16"/>
        <v>4.3638888888888889</v>
      </c>
      <c r="Y153" s="48"/>
    </row>
    <row r="154" spans="1:25" ht="12" customHeight="1">
      <c r="A154" s="48">
        <v>142</v>
      </c>
      <c r="B154" s="497" t="s">
        <v>47</v>
      </c>
      <c r="C154" s="319" t="s">
        <v>303</v>
      </c>
      <c r="D154" s="464" t="s">
        <v>46</v>
      </c>
      <c r="E154" s="2291">
        <f t="shared" si="14"/>
        <v>2273692555</v>
      </c>
      <c r="F154" s="3090">
        <f t="shared" si="15"/>
        <v>132.17298514897627</v>
      </c>
      <c r="G154" s="2365"/>
      <c r="H154" s="1723"/>
      <c r="I154" s="1697">
        <v>98160477</v>
      </c>
      <c r="J154" s="1697">
        <v>111691347</v>
      </c>
      <c r="K154" s="1697">
        <v>17413002</v>
      </c>
      <c r="L154" s="1697">
        <v>325078597</v>
      </c>
      <c r="M154" s="1697">
        <v>623224719</v>
      </c>
      <c r="N154" s="1697">
        <v>508596589</v>
      </c>
      <c r="O154" s="1697">
        <v>345728180</v>
      </c>
      <c r="P154" s="1697">
        <v>41450794</v>
      </c>
      <c r="Q154" s="1697">
        <v>202348850</v>
      </c>
      <c r="R154" s="2541" t="s">
        <v>304</v>
      </c>
      <c r="S154" s="320" t="s">
        <v>76</v>
      </c>
      <c r="T154" s="476">
        <v>1</v>
      </c>
      <c r="U154" s="1643">
        <v>37278</v>
      </c>
      <c r="V154" s="477" t="s">
        <v>89</v>
      </c>
      <c r="W154" s="477" t="s">
        <v>1180</v>
      </c>
      <c r="X154" s="848">
        <f t="shared" ca="1" si="16"/>
        <v>10.997222222222222</v>
      </c>
      <c r="Y154" s="48">
        <v>142</v>
      </c>
    </row>
    <row r="155" spans="1:25" ht="12" customHeight="1">
      <c r="A155" s="48"/>
      <c r="B155" s="1443" t="s">
        <v>1820</v>
      </c>
      <c r="C155" s="323" t="s">
        <v>1263</v>
      </c>
      <c r="D155" s="1378"/>
      <c r="E155" s="1746">
        <f t="shared" si="14"/>
        <v>2254958419</v>
      </c>
      <c r="F155" s="3090">
        <f t="shared" si="15"/>
        <v>132.18921066435644</v>
      </c>
      <c r="G155" s="2348"/>
      <c r="H155" s="1724"/>
      <c r="I155" s="1674">
        <v>107897826</v>
      </c>
      <c r="J155" s="1674">
        <v>96178107</v>
      </c>
      <c r="K155" s="1674">
        <v>17772618</v>
      </c>
      <c r="L155" s="1674">
        <v>334586086</v>
      </c>
      <c r="M155" s="1674">
        <v>585659904</v>
      </c>
      <c r="N155" s="1674">
        <v>489996550</v>
      </c>
      <c r="O155" s="1604">
        <v>365991876</v>
      </c>
      <c r="P155" s="1674">
        <v>40288195</v>
      </c>
      <c r="Q155" s="1674">
        <v>216587257</v>
      </c>
      <c r="R155" s="314" t="s">
        <v>133</v>
      </c>
      <c r="S155" s="315" t="s">
        <v>76</v>
      </c>
      <c r="T155" s="468">
        <v>1</v>
      </c>
      <c r="U155" s="1632">
        <v>37622</v>
      </c>
      <c r="V155" s="469" t="s">
        <v>89</v>
      </c>
      <c r="W155" s="469" t="s">
        <v>1056</v>
      </c>
      <c r="X155" s="847">
        <f t="shared" ca="1" si="16"/>
        <v>10.055555555555555</v>
      </c>
      <c r="Y155" s="48"/>
    </row>
    <row r="156" spans="1:25" ht="12" customHeight="1">
      <c r="A156" s="48">
        <v>144</v>
      </c>
      <c r="B156" s="498" t="s">
        <v>47</v>
      </c>
      <c r="C156" s="328" t="s">
        <v>1033</v>
      </c>
      <c r="D156" s="484"/>
      <c r="E156" s="1745">
        <f t="shared" si="14"/>
        <v>2206684564</v>
      </c>
      <c r="F156" s="3090">
        <f t="shared" si="15"/>
        <v>132.18827693977522</v>
      </c>
      <c r="G156" s="2360">
        <f>61+60+0+176+408+293+116+26+96</f>
        <v>1236</v>
      </c>
      <c r="H156" s="2003"/>
      <c r="I156" s="1674">
        <v>98502024</v>
      </c>
      <c r="J156" s="1604">
        <v>113862809</v>
      </c>
      <c r="K156" s="1604">
        <v>18110289</v>
      </c>
      <c r="L156" s="1604">
        <v>318008548</v>
      </c>
      <c r="M156" s="1604">
        <v>588216481</v>
      </c>
      <c r="N156" s="1604">
        <v>485808669</v>
      </c>
      <c r="O156" s="1604">
        <v>324974903</v>
      </c>
      <c r="P156" s="1604">
        <v>43639708</v>
      </c>
      <c r="Q156" s="1604">
        <v>215561133</v>
      </c>
      <c r="R156" s="324" t="s">
        <v>181</v>
      </c>
      <c r="S156" s="325" t="s">
        <v>76</v>
      </c>
      <c r="T156" s="479">
        <v>1</v>
      </c>
      <c r="U156" s="1634">
        <v>40040</v>
      </c>
      <c r="V156" s="480" t="s">
        <v>129</v>
      </c>
      <c r="W156" s="480" t="s">
        <v>182</v>
      </c>
      <c r="X156" s="848">
        <f t="shared" ca="1" si="16"/>
        <v>3.4333333333333331</v>
      </c>
      <c r="Y156" s="48">
        <v>144</v>
      </c>
    </row>
    <row r="157" spans="1:25" ht="12" customHeight="1">
      <c r="A157" s="48"/>
      <c r="B157" s="1579" t="s">
        <v>47</v>
      </c>
      <c r="C157" s="2433" t="s">
        <v>189</v>
      </c>
      <c r="D157" s="495" t="s">
        <v>46</v>
      </c>
      <c r="E157" s="2295">
        <f t="shared" si="14"/>
        <v>2253587997</v>
      </c>
      <c r="F157" s="3090">
        <f t="shared" si="15"/>
        <v>132.37703261114794</v>
      </c>
      <c r="G157" s="2496"/>
      <c r="H157" s="2516"/>
      <c r="I157" s="1703">
        <v>81433974</v>
      </c>
      <c r="J157" s="1687">
        <v>117485822</v>
      </c>
      <c r="K157" s="1687">
        <v>19257161</v>
      </c>
      <c r="L157" s="1687">
        <v>358511710</v>
      </c>
      <c r="M157" s="1687">
        <v>583842755</v>
      </c>
      <c r="N157" s="1687">
        <v>484655640</v>
      </c>
      <c r="O157" s="1689">
        <v>338963036</v>
      </c>
      <c r="P157" s="1687">
        <v>38706701</v>
      </c>
      <c r="Q157" s="1687">
        <v>230731198</v>
      </c>
      <c r="R157" s="2543" t="s">
        <v>152</v>
      </c>
      <c r="S157" s="2556" t="s">
        <v>76</v>
      </c>
      <c r="T157" s="2570">
        <v>1</v>
      </c>
      <c r="U157" s="2581">
        <v>39042</v>
      </c>
      <c r="V157" s="2593" t="s">
        <v>82</v>
      </c>
      <c r="W157" s="2593" t="s">
        <v>190</v>
      </c>
      <c r="X157" s="847">
        <f t="shared" ca="1" si="16"/>
        <v>6.166666666666667</v>
      </c>
      <c r="Y157" s="48"/>
    </row>
    <row r="158" spans="1:25" ht="12" customHeight="1">
      <c r="A158" s="48">
        <v>146</v>
      </c>
      <c r="B158" s="1441" t="s">
        <v>1820</v>
      </c>
      <c r="C158" s="343" t="s">
        <v>261</v>
      </c>
      <c r="D158" s="464" t="s">
        <v>46</v>
      </c>
      <c r="E158" s="2288">
        <f t="shared" si="14"/>
        <v>2242877208</v>
      </c>
      <c r="F158" s="3090">
        <f t="shared" si="15"/>
        <v>132.37304206456935</v>
      </c>
      <c r="G158" s="2349"/>
      <c r="H158" s="1725"/>
      <c r="I158" s="1608">
        <v>78536918</v>
      </c>
      <c r="J158" s="1612">
        <v>93620276</v>
      </c>
      <c r="K158" s="1612">
        <v>18103391</v>
      </c>
      <c r="L158" s="1612">
        <v>330433967</v>
      </c>
      <c r="M158" s="1612">
        <v>587404096</v>
      </c>
      <c r="N158" s="1612">
        <v>490515110</v>
      </c>
      <c r="O158" s="1697">
        <v>366121355</v>
      </c>
      <c r="P158" s="1612">
        <v>53677513</v>
      </c>
      <c r="Q158" s="1612">
        <v>224464582</v>
      </c>
      <c r="R158" s="344" t="s">
        <v>103</v>
      </c>
      <c r="S158" s="345" t="s">
        <v>76</v>
      </c>
      <c r="T158" s="503">
        <v>1</v>
      </c>
      <c r="U158" s="1626">
        <v>37667</v>
      </c>
      <c r="V158" s="504" t="s">
        <v>82</v>
      </c>
      <c r="W158" s="504" t="s">
        <v>262</v>
      </c>
      <c r="X158" s="848">
        <f t="shared" ca="1" si="16"/>
        <v>9.9333333333333336</v>
      </c>
      <c r="Y158" s="48">
        <v>146</v>
      </c>
    </row>
    <row r="159" spans="1:25" ht="12" customHeight="1">
      <c r="A159" s="48"/>
      <c r="B159" s="1343" t="s">
        <v>1820</v>
      </c>
      <c r="C159" s="323" t="s">
        <v>206</v>
      </c>
      <c r="D159" s="478"/>
      <c r="E159" s="2289">
        <f t="shared" si="14"/>
        <v>2211147017</v>
      </c>
      <c r="F159" s="3090">
        <f t="shared" si="15"/>
        <v>132.58544417256547</v>
      </c>
      <c r="G159" s="2359"/>
      <c r="H159" s="1731"/>
      <c r="I159" s="1603">
        <v>89834772</v>
      </c>
      <c r="J159" s="1674">
        <v>109487244</v>
      </c>
      <c r="K159" s="1674">
        <v>18435076</v>
      </c>
      <c r="L159" s="1674">
        <v>321416881</v>
      </c>
      <c r="M159" s="1674">
        <v>587720438</v>
      </c>
      <c r="N159" s="1674">
        <v>486662689</v>
      </c>
      <c r="O159" s="1604">
        <v>344731724</v>
      </c>
      <c r="P159" s="1674">
        <v>49767293</v>
      </c>
      <c r="Q159" s="1674">
        <v>203090900</v>
      </c>
      <c r="R159" s="324" t="s">
        <v>113</v>
      </c>
      <c r="S159" s="325" t="s">
        <v>76</v>
      </c>
      <c r="T159" s="479">
        <v>1</v>
      </c>
      <c r="U159" s="1634">
        <v>39814</v>
      </c>
      <c r="V159" s="480" t="s">
        <v>82</v>
      </c>
      <c r="W159" s="480" t="s">
        <v>1050</v>
      </c>
      <c r="X159" s="847">
        <f t="shared" ca="1" si="16"/>
        <v>4.0555555555555554</v>
      </c>
      <c r="Y159" s="48"/>
    </row>
    <row r="160" spans="1:25" ht="12" customHeight="1">
      <c r="A160" s="48">
        <v>148</v>
      </c>
      <c r="B160" s="498" t="s">
        <v>47</v>
      </c>
      <c r="C160" s="328" t="s">
        <v>929</v>
      </c>
      <c r="D160" s="484"/>
      <c r="E160" s="1745">
        <f t="shared" si="14"/>
        <v>2231341990</v>
      </c>
      <c r="F160" s="3090">
        <f t="shared" si="15"/>
        <v>132.73478431238115</v>
      </c>
      <c r="G160" s="2354">
        <f>65+203+0+295+249+124+59+234+207</f>
        <v>1436</v>
      </c>
      <c r="H160" s="1731"/>
      <c r="I160" s="1681">
        <v>102098119</v>
      </c>
      <c r="J160" s="1604">
        <v>121472516</v>
      </c>
      <c r="K160" s="1604">
        <v>17669090</v>
      </c>
      <c r="L160" s="1604">
        <v>315675051</v>
      </c>
      <c r="M160" s="1604">
        <v>606380453</v>
      </c>
      <c r="N160" s="1604">
        <v>497258374</v>
      </c>
      <c r="O160" s="1604">
        <v>339035221</v>
      </c>
      <c r="P160" s="1604">
        <v>42970451</v>
      </c>
      <c r="Q160" s="1604">
        <v>188782715</v>
      </c>
      <c r="R160" s="324" t="s">
        <v>928</v>
      </c>
      <c r="S160" s="325" t="s">
        <v>76</v>
      </c>
      <c r="T160" s="479">
        <v>1</v>
      </c>
      <c r="U160" s="1634">
        <v>40968</v>
      </c>
      <c r="V160" s="480" t="s">
        <v>930</v>
      </c>
      <c r="W160" s="480" t="s">
        <v>931</v>
      </c>
      <c r="X160" s="848">
        <f t="shared" ca="1" si="16"/>
        <v>0.89166666666666672</v>
      </c>
      <c r="Y160" s="48">
        <v>148</v>
      </c>
    </row>
    <row r="161" spans="1:25" ht="12" customHeight="1">
      <c r="A161" s="48"/>
      <c r="B161" s="1345" t="s">
        <v>1820</v>
      </c>
      <c r="C161" s="349" t="s">
        <v>321</v>
      </c>
      <c r="D161" s="506"/>
      <c r="E161" s="2299">
        <f t="shared" si="14"/>
        <v>2248108307</v>
      </c>
      <c r="F161" s="3090">
        <f t="shared" si="15"/>
        <v>132.79579147889646</v>
      </c>
      <c r="G161" s="2367"/>
      <c r="H161" s="1739"/>
      <c r="I161" s="1687">
        <v>98080653</v>
      </c>
      <c r="J161" s="1687">
        <v>110194789</v>
      </c>
      <c r="K161" s="1687">
        <v>18895403</v>
      </c>
      <c r="L161" s="1687">
        <v>323205052</v>
      </c>
      <c r="M161" s="1687">
        <v>598609391</v>
      </c>
      <c r="N161" s="1687">
        <v>489624805</v>
      </c>
      <c r="O161" s="1689">
        <v>367267801</v>
      </c>
      <c r="P161" s="1687">
        <v>41905788</v>
      </c>
      <c r="Q161" s="1687">
        <v>200324625</v>
      </c>
      <c r="R161" s="357" t="s">
        <v>322</v>
      </c>
      <c r="S161" s="358" t="s">
        <v>76</v>
      </c>
      <c r="T161" s="515">
        <v>1</v>
      </c>
      <c r="U161" s="1641">
        <v>37171</v>
      </c>
      <c r="V161" s="516" t="s">
        <v>89</v>
      </c>
      <c r="W161" s="516" t="s">
        <v>247</v>
      </c>
      <c r="X161" s="847">
        <f t="shared" ca="1" si="16"/>
        <v>11.28888888888889</v>
      </c>
      <c r="Y161" s="48"/>
    </row>
    <row r="162" spans="1:25" ht="12" customHeight="1">
      <c r="A162" s="48">
        <v>150</v>
      </c>
      <c r="B162" s="497" t="s">
        <v>47</v>
      </c>
      <c r="C162" s="319" t="s">
        <v>1161</v>
      </c>
      <c r="D162" s="464" t="s">
        <v>46</v>
      </c>
      <c r="E162" s="2291">
        <f t="shared" si="14"/>
        <v>2238538681</v>
      </c>
      <c r="F162" s="3090">
        <f t="shared" si="15"/>
        <v>132.94444856382989</v>
      </c>
      <c r="G162" s="2356">
        <f>401+590+0+1775+2159+1890+1183+356+2028</f>
        <v>10382</v>
      </c>
      <c r="H162" s="1723"/>
      <c r="I162" s="1678">
        <v>95191675</v>
      </c>
      <c r="J162" s="1697">
        <v>117749972</v>
      </c>
      <c r="K162" s="1697">
        <v>18350077</v>
      </c>
      <c r="L162" s="1697">
        <v>322617848</v>
      </c>
      <c r="M162" s="1697">
        <v>596678998</v>
      </c>
      <c r="N162" s="1697">
        <v>490228358</v>
      </c>
      <c r="O162" s="1697">
        <v>336655210</v>
      </c>
      <c r="P162" s="1697">
        <v>41283298</v>
      </c>
      <c r="Q162" s="1697">
        <v>219783245</v>
      </c>
      <c r="R162" s="321" t="s">
        <v>1154</v>
      </c>
      <c r="S162" s="322" t="s">
        <v>76</v>
      </c>
      <c r="T162" s="476">
        <v>1</v>
      </c>
      <c r="U162" s="1633">
        <v>36588</v>
      </c>
      <c r="V162" s="477" t="s">
        <v>1155</v>
      </c>
      <c r="W162" s="477" t="s">
        <v>1156</v>
      </c>
      <c r="X162" s="848">
        <f t="shared" ca="1" si="16"/>
        <v>12.883333333333333</v>
      </c>
      <c r="Y162" s="48">
        <v>150</v>
      </c>
    </row>
    <row r="163" spans="1:25" ht="12" customHeight="1">
      <c r="A163" s="48"/>
      <c r="B163" s="860" t="s">
        <v>47</v>
      </c>
      <c r="C163" s="335" t="s">
        <v>245</v>
      </c>
      <c r="D163" s="1575"/>
      <c r="E163" s="3061">
        <f t="shared" si="14"/>
        <v>2233565883</v>
      </c>
      <c r="F163" s="3090">
        <f t="shared" si="15"/>
        <v>132.84969596347568</v>
      </c>
      <c r="G163" s="2362"/>
      <c r="H163" s="1736"/>
      <c r="I163" s="1603">
        <v>86944135</v>
      </c>
      <c r="J163" s="1674">
        <v>108656636</v>
      </c>
      <c r="K163" s="1674">
        <v>22182612</v>
      </c>
      <c r="L163" s="1674">
        <v>336645753</v>
      </c>
      <c r="M163" s="1674">
        <v>583354739</v>
      </c>
      <c r="N163" s="1674">
        <v>489757415</v>
      </c>
      <c r="O163" s="1604">
        <v>343944646</v>
      </c>
      <c r="P163" s="1674">
        <v>39507499</v>
      </c>
      <c r="Q163" s="1674">
        <v>222572448</v>
      </c>
      <c r="R163" s="336" t="s">
        <v>246</v>
      </c>
      <c r="S163" s="337" t="s">
        <v>76</v>
      </c>
      <c r="T163" s="493">
        <v>1</v>
      </c>
      <c r="U163" s="1630">
        <v>38977</v>
      </c>
      <c r="V163" s="494" t="s">
        <v>82</v>
      </c>
      <c r="W163" s="494" t="s">
        <v>247</v>
      </c>
      <c r="X163" s="847">
        <f t="shared" ca="1" si="16"/>
        <v>6.3444444444444441</v>
      </c>
      <c r="Y163" s="48"/>
    </row>
    <row r="164" spans="1:25" ht="12" customHeight="1">
      <c r="A164" s="48">
        <v>152</v>
      </c>
      <c r="B164" s="2423" t="s">
        <v>1820</v>
      </c>
      <c r="C164" s="310" t="s">
        <v>248</v>
      </c>
      <c r="D164" s="2477"/>
      <c r="E164" s="2290">
        <f t="shared" si="14"/>
        <v>2217593036</v>
      </c>
      <c r="F164" s="3090">
        <f t="shared" si="15"/>
        <v>132.92728871368664</v>
      </c>
      <c r="G164" s="2365"/>
      <c r="H164" s="1723"/>
      <c r="I164" s="1608">
        <v>90023441</v>
      </c>
      <c r="J164" s="1612">
        <v>110439081</v>
      </c>
      <c r="K164" s="1612">
        <v>18435085</v>
      </c>
      <c r="L164" s="1612">
        <v>321530074</v>
      </c>
      <c r="M164" s="1612">
        <v>591545645</v>
      </c>
      <c r="N164" s="1612">
        <v>486662941</v>
      </c>
      <c r="O164" s="1697">
        <v>346090379</v>
      </c>
      <c r="P164" s="1612">
        <v>49775490</v>
      </c>
      <c r="Q164" s="1612">
        <v>203090900</v>
      </c>
      <c r="R164" s="321" t="s">
        <v>113</v>
      </c>
      <c r="S164" s="322" t="s">
        <v>76</v>
      </c>
      <c r="T164" s="476">
        <v>1</v>
      </c>
      <c r="U164" s="1633">
        <v>39651</v>
      </c>
      <c r="V164" s="477" t="s">
        <v>82</v>
      </c>
      <c r="W164" s="477" t="s">
        <v>1051</v>
      </c>
      <c r="X164" s="848">
        <f t="shared" ca="1" si="16"/>
        <v>4.4972222222222218</v>
      </c>
      <c r="Y164" s="48">
        <v>152</v>
      </c>
    </row>
    <row r="165" spans="1:25" ht="12" customHeight="1">
      <c r="A165" s="48"/>
      <c r="B165" s="498" t="s">
        <v>47</v>
      </c>
      <c r="C165" s="327" t="s">
        <v>319</v>
      </c>
      <c r="D165" s="482"/>
      <c r="E165" s="1745">
        <f t="shared" si="14"/>
        <v>2282273200</v>
      </c>
      <c r="F165" s="3090">
        <f t="shared" si="15"/>
        <v>133.08184256240654</v>
      </c>
      <c r="G165" s="2359"/>
      <c r="H165" s="1731"/>
      <c r="I165" s="1674">
        <v>89967890</v>
      </c>
      <c r="J165" s="1674">
        <v>110651611</v>
      </c>
      <c r="K165" s="1674">
        <v>18689926</v>
      </c>
      <c r="L165" s="1674">
        <v>335409915</v>
      </c>
      <c r="M165" s="1674">
        <v>616539883</v>
      </c>
      <c r="N165" s="1674">
        <v>507825102</v>
      </c>
      <c r="O165" s="1604">
        <v>342211788</v>
      </c>
      <c r="P165" s="1674">
        <v>42130986</v>
      </c>
      <c r="Q165" s="1674">
        <v>218846099</v>
      </c>
      <c r="R165" s="324" t="s">
        <v>183</v>
      </c>
      <c r="S165" s="325" t="s">
        <v>76</v>
      </c>
      <c r="T165" s="479">
        <v>1</v>
      </c>
      <c r="U165" s="1634">
        <v>39507</v>
      </c>
      <c r="V165" s="480" t="s">
        <v>320</v>
      </c>
      <c r="W165" s="480" t="s">
        <v>1195</v>
      </c>
      <c r="X165" s="847">
        <f t="shared" ca="1" si="16"/>
        <v>4.8916666666666666</v>
      </c>
      <c r="Y165" s="48"/>
    </row>
    <row r="166" spans="1:25" ht="12" customHeight="1">
      <c r="A166" s="48">
        <v>154</v>
      </c>
      <c r="B166" s="2414" t="s">
        <v>47</v>
      </c>
      <c r="C166" s="2432" t="s">
        <v>1029</v>
      </c>
      <c r="D166" s="478"/>
      <c r="E166" s="2483">
        <f t="shared" si="14"/>
        <v>2236523815</v>
      </c>
      <c r="F166" s="3090">
        <f t="shared" si="15"/>
        <v>133.06112437793143</v>
      </c>
      <c r="G166" s="2495"/>
      <c r="H166" s="2517"/>
      <c r="I166" s="1604">
        <v>88538944</v>
      </c>
      <c r="J166" s="1604">
        <v>110869723</v>
      </c>
      <c r="K166" s="1604">
        <v>20025254</v>
      </c>
      <c r="L166" s="1604">
        <v>322003694</v>
      </c>
      <c r="M166" s="1604">
        <v>577999596</v>
      </c>
      <c r="N166" s="1604">
        <v>487619593</v>
      </c>
      <c r="O166" s="1604">
        <v>353559564</v>
      </c>
      <c r="P166" s="1604">
        <v>40773343</v>
      </c>
      <c r="Q166" s="1604">
        <v>235134104</v>
      </c>
      <c r="R166" s="2542" t="s">
        <v>210</v>
      </c>
      <c r="S166" s="2555" t="s">
        <v>76</v>
      </c>
      <c r="T166" s="2569">
        <v>1</v>
      </c>
      <c r="U166" s="2580">
        <v>39055</v>
      </c>
      <c r="V166" s="2592" t="s">
        <v>89</v>
      </c>
      <c r="W166" s="2592" t="s">
        <v>1053</v>
      </c>
      <c r="X166" s="848">
        <f t="shared" ca="1" si="16"/>
        <v>6.1305555555555555</v>
      </c>
      <c r="Y166" s="48">
        <v>154</v>
      </c>
    </row>
    <row r="167" spans="1:25" ht="12" customHeight="1">
      <c r="A167" s="48"/>
      <c r="B167" s="1579" t="s">
        <v>47</v>
      </c>
      <c r="C167" s="342" t="s">
        <v>251</v>
      </c>
      <c r="D167" s="495" t="s">
        <v>46</v>
      </c>
      <c r="E167" s="2295">
        <f t="shared" si="14"/>
        <v>2267870614</v>
      </c>
      <c r="F167" s="3090">
        <f t="shared" si="15"/>
        <v>133.12404172383125</v>
      </c>
      <c r="G167" s="2361"/>
      <c r="H167" s="1735"/>
      <c r="I167" s="1687">
        <v>85824893</v>
      </c>
      <c r="J167" s="1687">
        <v>97836059</v>
      </c>
      <c r="K167" s="1687">
        <v>22457159</v>
      </c>
      <c r="L167" s="1687">
        <v>332803843</v>
      </c>
      <c r="M167" s="1687">
        <v>591055612</v>
      </c>
      <c r="N167" s="1687">
        <v>491168091</v>
      </c>
      <c r="O167" s="1689">
        <v>374473809</v>
      </c>
      <c r="P167" s="1687">
        <v>38914555</v>
      </c>
      <c r="Q167" s="1687">
        <v>233336593</v>
      </c>
      <c r="R167" s="317" t="s">
        <v>192</v>
      </c>
      <c r="S167" s="353" t="s">
        <v>72</v>
      </c>
      <c r="T167" s="472">
        <v>1</v>
      </c>
      <c r="U167" s="1637">
        <v>39637</v>
      </c>
      <c r="V167" s="473" t="s">
        <v>82</v>
      </c>
      <c r="W167" s="473" t="s">
        <v>193</v>
      </c>
      <c r="X167" s="847">
        <f t="shared" ca="1" si="16"/>
        <v>4.5361111111111114</v>
      </c>
      <c r="Y167" s="48"/>
    </row>
    <row r="168" spans="1:25" ht="12" customHeight="1">
      <c r="A168" s="48">
        <v>156</v>
      </c>
      <c r="B168" s="1573" t="s">
        <v>1820</v>
      </c>
      <c r="C168" s="1376" t="s">
        <v>307</v>
      </c>
      <c r="D168" s="486"/>
      <c r="E168" s="2291">
        <f t="shared" si="14"/>
        <v>2219329421</v>
      </c>
      <c r="F168" s="3090">
        <f t="shared" si="15"/>
        <v>133.21531908434469</v>
      </c>
      <c r="G168" s="2365"/>
      <c r="H168" s="1723"/>
      <c r="I168" s="1612">
        <v>91759109</v>
      </c>
      <c r="J168" s="1612">
        <v>110430818</v>
      </c>
      <c r="K168" s="1612">
        <v>18435076</v>
      </c>
      <c r="L168" s="1612">
        <v>321530074</v>
      </c>
      <c r="M168" s="1612">
        <v>591545645</v>
      </c>
      <c r="N168" s="1612">
        <v>486662941</v>
      </c>
      <c r="O168" s="1697">
        <v>346090379</v>
      </c>
      <c r="P168" s="1612">
        <v>49784479</v>
      </c>
      <c r="Q168" s="1612">
        <v>203090900</v>
      </c>
      <c r="R168" s="321" t="s">
        <v>113</v>
      </c>
      <c r="S168" s="322" t="s">
        <v>76</v>
      </c>
      <c r="T168" s="476">
        <v>1</v>
      </c>
      <c r="U168" s="1633">
        <v>39247</v>
      </c>
      <c r="V168" s="477" t="s">
        <v>82</v>
      </c>
      <c r="W168" s="477" t="s">
        <v>1051</v>
      </c>
      <c r="X168" s="848">
        <f t="shared" ca="1" si="16"/>
        <v>5.6027777777777779</v>
      </c>
      <c r="Y168" s="48">
        <v>156</v>
      </c>
    </row>
    <row r="169" spans="1:25" ht="12" customHeight="1">
      <c r="A169" s="48"/>
      <c r="B169" s="498" t="s">
        <v>47</v>
      </c>
      <c r="C169" s="328" t="s">
        <v>1157</v>
      </c>
      <c r="D169" s="499" t="s">
        <v>46</v>
      </c>
      <c r="E169" s="1745">
        <f t="shared" si="14"/>
        <v>2241381694</v>
      </c>
      <c r="F169" s="3090">
        <f t="shared" si="15"/>
        <v>133.434244937415</v>
      </c>
      <c r="G169" s="2354">
        <f>71+102+0+302+369+306+221+56+304</f>
        <v>1731</v>
      </c>
      <c r="H169" s="1731"/>
      <c r="I169" s="1604">
        <v>95116452</v>
      </c>
      <c r="J169" s="1604">
        <v>118265223</v>
      </c>
      <c r="K169" s="1674">
        <v>18418843</v>
      </c>
      <c r="L169" s="1674">
        <v>323627864</v>
      </c>
      <c r="M169" s="1674">
        <v>596725401</v>
      </c>
      <c r="N169" s="1674">
        <v>490228655</v>
      </c>
      <c r="O169" s="1604">
        <v>336738043</v>
      </c>
      <c r="P169" s="1674">
        <v>42120765</v>
      </c>
      <c r="Q169" s="1674">
        <v>220140448</v>
      </c>
      <c r="R169" s="324" t="s">
        <v>1154</v>
      </c>
      <c r="S169" s="325" t="s">
        <v>76</v>
      </c>
      <c r="T169" s="479">
        <v>1</v>
      </c>
      <c r="U169" s="1631">
        <v>36588</v>
      </c>
      <c r="V169" s="480" t="s">
        <v>1155</v>
      </c>
      <c r="W169" s="480" t="s">
        <v>1156</v>
      </c>
      <c r="X169" s="847">
        <f t="shared" ca="1" si="16"/>
        <v>12.883333333333333</v>
      </c>
      <c r="Y169" s="48"/>
    </row>
    <row r="170" spans="1:25" ht="12" customHeight="1">
      <c r="A170" s="48">
        <v>158</v>
      </c>
      <c r="B170" s="483" t="s">
        <v>47</v>
      </c>
      <c r="C170" s="326" t="s">
        <v>1012</v>
      </c>
      <c r="D170" s="467"/>
      <c r="E170" s="1746">
        <f t="shared" si="14"/>
        <v>2180252513</v>
      </c>
      <c r="F170" s="3090">
        <f t="shared" si="15"/>
        <v>133.29185421788179</v>
      </c>
      <c r="G170" s="2348"/>
      <c r="H170" s="1724"/>
      <c r="I170" s="1674">
        <v>93178884</v>
      </c>
      <c r="J170" s="1674">
        <v>109049749</v>
      </c>
      <c r="K170" s="1674">
        <v>19071526</v>
      </c>
      <c r="L170" s="1674">
        <v>322444152</v>
      </c>
      <c r="M170" s="1604">
        <v>580831152</v>
      </c>
      <c r="N170" s="1674">
        <v>483988360</v>
      </c>
      <c r="O170" s="1604">
        <v>325952110</v>
      </c>
      <c r="P170" s="1604">
        <v>54653845</v>
      </c>
      <c r="Q170" s="1604">
        <v>191082735</v>
      </c>
      <c r="R170" s="314" t="s">
        <v>282</v>
      </c>
      <c r="S170" s="315" t="s">
        <v>76</v>
      </c>
      <c r="T170" s="468">
        <v>1</v>
      </c>
      <c r="U170" s="1625">
        <v>39618</v>
      </c>
      <c r="V170" s="469" t="s">
        <v>82</v>
      </c>
      <c r="W170" s="469" t="s">
        <v>283</v>
      </c>
      <c r="X170" s="848">
        <f t="shared" ca="1" si="16"/>
        <v>4.5888888888888886</v>
      </c>
      <c r="Y170" s="48">
        <v>158</v>
      </c>
    </row>
    <row r="171" spans="1:25" ht="12" customHeight="1">
      <c r="A171" s="48"/>
      <c r="B171" s="1371" t="s">
        <v>47</v>
      </c>
      <c r="C171" s="335" t="s">
        <v>252</v>
      </c>
      <c r="D171" s="1470"/>
      <c r="E171" s="2293">
        <f t="shared" si="14"/>
        <v>2249754821</v>
      </c>
      <c r="F171" s="3090">
        <f t="shared" si="15"/>
        <v>133.64283413286685</v>
      </c>
      <c r="G171" s="2358"/>
      <c r="H171" s="1720"/>
      <c r="I171" s="1687">
        <v>87975763</v>
      </c>
      <c r="J171" s="1687">
        <v>110431437</v>
      </c>
      <c r="K171" s="1687">
        <v>21419149</v>
      </c>
      <c r="L171" s="1687">
        <v>321059139</v>
      </c>
      <c r="M171" s="1687">
        <v>585931529</v>
      </c>
      <c r="N171" s="1687">
        <v>487049284</v>
      </c>
      <c r="O171" s="1689">
        <v>374317005</v>
      </c>
      <c r="P171" s="1687">
        <v>40105156</v>
      </c>
      <c r="Q171" s="1687">
        <v>221466359</v>
      </c>
      <c r="R171" s="329" t="s">
        <v>253</v>
      </c>
      <c r="S171" s="338" t="s">
        <v>76</v>
      </c>
      <c r="T171" s="496">
        <v>1</v>
      </c>
      <c r="U171" s="1642">
        <v>38747</v>
      </c>
      <c r="V171" s="485" t="s">
        <v>82</v>
      </c>
      <c r="W171" s="485" t="s">
        <v>254</v>
      </c>
      <c r="X171" s="847">
        <f t="shared" ca="1" si="16"/>
        <v>6.9749999999999996</v>
      </c>
      <c r="Y171" s="48"/>
    </row>
    <row r="172" spans="1:25" ht="12" customHeight="1">
      <c r="A172" s="48">
        <v>160</v>
      </c>
      <c r="B172" s="474" t="s">
        <v>47</v>
      </c>
      <c r="C172" s="310" t="s">
        <v>308</v>
      </c>
      <c r="D172" s="481"/>
      <c r="E172" s="2297">
        <f t="shared" si="14"/>
        <v>2254300843</v>
      </c>
      <c r="F172" s="3090">
        <f t="shared" si="15"/>
        <v>133.8556742936951</v>
      </c>
      <c r="G172" s="2363"/>
      <c r="H172" s="1737"/>
      <c r="I172" s="1697">
        <v>86018022</v>
      </c>
      <c r="J172" s="1697">
        <v>119872245</v>
      </c>
      <c r="K172" s="1697">
        <v>19644033</v>
      </c>
      <c r="L172" s="1697">
        <v>313206423</v>
      </c>
      <c r="M172" s="1697">
        <v>588589937</v>
      </c>
      <c r="N172" s="1697">
        <v>484992959</v>
      </c>
      <c r="O172" s="1697">
        <v>375101598</v>
      </c>
      <c r="P172" s="1697">
        <v>40386329</v>
      </c>
      <c r="Q172" s="1697">
        <v>226489297</v>
      </c>
      <c r="R172" s="311" t="s">
        <v>302</v>
      </c>
      <c r="S172" s="312" t="s">
        <v>76</v>
      </c>
      <c r="T172" s="465">
        <v>1</v>
      </c>
      <c r="U172" s="1638">
        <v>35732</v>
      </c>
      <c r="V172" s="466" t="s">
        <v>82</v>
      </c>
      <c r="W172" s="466" t="s">
        <v>1055</v>
      </c>
      <c r="X172" s="848">
        <f t="shared" ca="1" si="16"/>
        <v>15.227777777777778</v>
      </c>
      <c r="Y172" s="48">
        <v>160</v>
      </c>
    </row>
    <row r="173" spans="1:25" ht="12" customHeight="1">
      <c r="A173" s="48"/>
      <c r="B173" s="483" t="s">
        <v>47</v>
      </c>
      <c r="C173" s="323" t="s">
        <v>1015</v>
      </c>
      <c r="D173" s="467"/>
      <c r="E173" s="1746">
        <f t="shared" si="14"/>
        <v>2190998299.5</v>
      </c>
      <c r="F173" s="3090">
        <f t="shared" si="15"/>
        <v>133.85008500503938</v>
      </c>
      <c r="G173" s="2348"/>
      <c r="H173" s="1724"/>
      <c r="I173" s="1604">
        <v>93460427</v>
      </c>
      <c r="J173" s="1604">
        <v>108512360</v>
      </c>
      <c r="K173" s="1604">
        <f>37137567/2</f>
        <v>18568783.5</v>
      </c>
      <c r="L173" s="1604">
        <v>308066972</v>
      </c>
      <c r="M173" s="1604">
        <v>585215549</v>
      </c>
      <c r="N173" s="1604">
        <v>485082484</v>
      </c>
      <c r="O173" s="1604">
        <v>331526988</v>
      </c>
      <c r="P173" s="1604">
        <v>54926048</v>
      </c>
      <c r="Q173" s="1604">
        <v>205638688</v>
      </c>
      <c r="R173" s="314" t="s">
        <v>282</v>
      </c>
      <c r="S173" s="315" t="s">
        <v>76</v>
      </c>
      <c r="T173" s="468">
        <v>1</v>
      </c>
      <c r="U173" s="1625">
        <v>38948</v>
      </c>
      <c r="V173" s="469" t="s">
        <v>82</v>
      </c>
      <c r="W173" s="469" t="s">
        <v>283</v>
      </c>
      <c r="X173" s="847">
        <f t="shared" ca="1" si="16"/>
        <v>6.4222222222222225</v>
      </c>
      <c r="Y173" s="48"/>
    </row>
    <row r="174" spans="1:25" ht="12" customHeight="1">
      <c r="A174" s="48">
        <v>162</v>
      </c>
      <c r="B174" s="483" t="s">
        <v>47</v>
      </c>
      <c r="C174" s="323" t="s">
        <v>360</v>
      </c>
      <c r="D174" s="467"/>
      <c r="E174" s="1746">
        <f t="shared" si="14"/>
        <v>2315693547</v>
      </c>
      <c r="F174" s="3090">
        <f t="shared" si="15"/>
        <v>134.14743051780312</v>
      </c>
      <c r="G174" s="2348"/>
      <c r="H174" s="1724"/>
      <c r="I174" s="1604">
        <v>86716307</v>
      </c>
      <c r="J174" s="1604">
        <v>102430330</v>
      </c>
      <c r="K174" s="1604">
        <v>18547622</v>
      </c>
      <c r="L174" s="1604">
        <v>335794616</v>
      </c>
      <c r="M174" s="1604">
        <v>593814287</v>
      </c>
      <c r="N174" s="1604">
        <v>497512806</v>
      </c>
      <c r="O174" s="1604">
        <v>402442201</v>
      </c>
      <c r="P174" s="1674">
        <v>41095263</v>
      </c>
      <c r="Q174" s="1604">
        <v>237340115</v>
      </c>
      <c r="R174" s="1382" t="s">
        <v>361</v>
      </c>
      <c r="S174" s="354" t="s">
        <v>76</v>
      </c>
      <c r="T174" s="468">
        <v>1</v>
      </c>
      <c r="U174" s="1632">
        <v>36460</v>
      </c>
      <c r="V174" s="469" t="s">
        <v>82</v>
      </c>
      <c r="W174" s="469" t="s">
        <v>362</v>
      </c>
      <c r="X174" s="848">
        <f t="shared" ca="1" si="16"/>
        <v>13.233333333333333</v>
      </c>
      <c r="Y174" s="48">
        <v>162</v>
      </c>
    </row>
    <row r="175" spans="1:25" ht="12" customHeight="1">
      <c r="A175" s="48"/>
      <c r="B175" s="1579" t="s">
        <v>47</v>
      </c>
      <c r="C175" s="342" t="s">
        <v>1756</v>
      </c>
      <c r="D175" s="495" t="s">
        <v>46</v>
      </c>
      <c r="E175" s="3059">
        <f t="shared" si="14"/>
        <v>2281163419</v>
      </c>
      <c r="F175" s="3090">
        <f t="shared" si="15"/>
        <v>134.22142711792273</v>
      </c>
      <c r="G175" s="2366">
        <f>86.8+127.1+0+321.9+421.6+352+401.7+55.2+367.2</f>
        <v>2133.5</v>
      </c>
      <c r="H175" s="1738"/>
      <c r="I175" s="1687">
        <v>88668501</v>
      </c>
      <c r="J175" s="1687">
        <v>116283646</v>
      </c>
      <c r="K175" s="1687">
        <v>19053542</v>
      </c>
      <c r="L175" s="1687">
        <v>322006084</v>
      </c>
      <c r="M175" s="1687">
        <v>594798165</v>
      </c>
      <c r="N175" s="1687">
        <v>495920231</v>
      </c>
      <c r="O175" s="1689">
        <v>384531089</v>
      </c>
      <c r="P175" s="1687">
        <v>41063234</v>
      </c>
      <c r="Q175" s="1687">
        <v>218838927</v>
      </c>
      <c r="R175" s="317" t="s">
        <v>1755</v>
      </c>
      <c r="S175" s="318" t="s">
        <v>76</v>
      </c>
      <c r="T175" s="2573">
        <v>2</v>
      </c>
      <c r="U175" s="1637">
        <v>41189</v>
      </c>
      <c r="V175" s="473" t="s">
        <v>86</v>
      </c>
      <c r="W175" s="473" t="s">
        <v>1201</v>
      </c>
      <c r="X175" s="847">
        <f t="shared" ca="1" si="16"/>
        <v>0.28888888888888886</v>
      </c>
      <c r="Y175" s="48"/>
    </row>
    <row r="176" spans="1:25" ht="12" customHeight="1">
      <c r="A176" s="48">
        <v>164</v>
      </c>
      <c r="B176" s="474" t="s">
        <v>47</v>
      </c>
      <c r="C176" s="326" t="s">
        <v>301</v>
      </c>
      <c r="D176" s="481"/>
      <c r="E176" s="2297">
        <f t="shared" si="14"/>
        <v>2296467650</v>
      </c>
      <c r="F176" s="3090">
        <f t="shared" si="15"/>
        <v>134.23468620970752</v>
      </c>
      <c r="G176" s="2363"/>
      <c r="H176" s="1737"/>
      <c r="I176" s="1697">
        <v>85783860</v>
      </c>
      <c r="J176" s="1697">
        <v>102719665</v>
      </c>
      <c r="K176" s="1697">
        <v>19770157</v>
      </c>
      <c r="L176" s="1697">
        <v>343802663</v>
      </c>
      <c r="M176" s="1697">
        <v>589974074</v>
      </c>
      <c r="N176" s="1697">
        <v>489721065</v>
      </c>
      <c r="O176" s="1697">
        <v>375101598</v>
      </c>
      <c r="P176" s="1697">
        <v>40194727</v>
      </c>
      <c r="Q176" s="1697">
        <v>249399841</v>
      </c>
      <c r="R176" s="311" t="s">
        <v>302</v>
      </c>
      <c r="S176" s="312" t="s">
        <v>76</v>
      </c>
      <c r="T176" s="465">
        <v>1</v>
      </c>
      <c r="U176" s="1638">
        <v>35855</v>
      </c>
      <c r="V176" s="466" t="s">
        <v>82</v>
      </c>
      <c r="W176" s="466" t="s">
        <v>1055</v>
      </c>
      <c r="X176" s="848">
        <f t="shared" ca="1" si="16"/>
        <v>14.888888888888889</v>
      </c>
      <c r="Y176" s="48">
        <v>164</v>
      </c>
    </row>
    <row r="177" spans="1:25" ht="12" customHeight="1">
      <c r="A177" s="48"/>
      <c r="B177" s="860" t="s">
        <v>47</v>
      </c>
      <c r="C177" s="335" t="s">
        <v>272</v>
      </c>
      <c r="D177" s="499" t="s">
        <v>46</v>
      </c>
      <c r="E177" s="2296">
        <f t="shared" si="14"/>
        <v>2261974193</v>
      </c>
      <c r="F177" s="3090">
        <f t="shared" si="15"/>
        <v>134.3083909206764</v>
      </c>
      <c r="G177" s="2362"/>
      <c r="H177" s="1736"/>
      <c r="I177" s="1604">
        <v>96039815</v>
      </c>
      <c r="J177" s="1604">
        <v>116859167</v>
      </c>
      <c r="K177" s="1604">
        <v>17897283</v>
      </c>
      <c r="L177" s="1604">
        <v>310283217</v>
      </c>
      <c r="M177" s="1604">
        <v>597006214</v>
      </c>
      <c r="N177" s="1604">
        <v>494438297</v>
      </c>
      <c r="O177" s="1604">
        <v>364732516</v>
      </c>
      <c r="P177" s="1604">
        <v>43173815</v>
      </c>
      <c r="Q177" s="1604">
        <v>221543869</v>
      </c>
      <c r="R177" s="336" t="s">
        <v>256</v>
      </c>
      <c r="S177" s="337" t="s">
        <v>76</v>
      </c>
      <c r="T177" s="493">
        <v>1</v>
      </c>
      <c r="U177" s="1630">
        <v>39179</v>
      </c>
      <c r="V177" s="494" t="s">
        <v>273</v>
      </c>
      <c r="W177" s="494" t="s">
        <v>1057</v>
      </c>
      <c r="X177" s="847">
        <f t="shared" ca="1" si="16"/>
        <v>5.7888888888888888</v>
      </c>
      <c r="Y177" s="48"/>
    </row>
    <row r="178" spans="1:25" ht="12" customHeight="1">
      <c r="A178" s="48">
        <v>166</v>
      </c>
      <c r="B178" s="498" t="s">
        <v>47</v>
      </c>
      <c r="C178" s="323" t="s">
        <v>828</v>
      </c>
      <c r="D178" s="499" t="s">
        <v>46</v>
      </c>
      <c r="E178" s="1745">
        <f t="shared" si="14"/>
        <v>2241044806</v>
      </c>
      <c r="F178" s="3090">
        <f t="shared" si="15"/>
        <v>134.51260316173389</v>
      </c>
      <c r="G178" s="2359"/>
      <c r="H178" s="1731"/>
      <c r="I178" s="1674">
        <v>95689531</v>
      </c>
      <c r="J178" s="1604">
        <v>121950876</v>
      </c>
      <c r="K178" s="1604">
        <v>18805494</v>
      </c>
      <c r="L178" s="1604">
        <v>326837528</v>
      </c>
      <c r="M178" s="1604">
        <v>588953840</v>
      </c>
      <c r="N178" s="1604">
        <v>486279803</v>
      </c>
      <c r="O178" s="1604">
        <v>342462021</v>
      </c>
      <c r="P178" s="1604">
        <v>42696633</v>
      </c>
      <c r="Q178" s="1604">
        <v>217369080</v>
      </c>
      <c r="R178" s="324" t="s">
        <v>829</v>
      </c>
      <c r="S178" s="325" t="s">
        <v>76</v>
      </c>
      <c r="T178" s="479">
        <v>1</v>
      </c>
      <c r="U178" s="1634">
        <v>36756</v>
      </c>
      <c r="V178" s="480" t="s">
        <v>82</v>
      </c>
      <c r="W178" s="480" t="s">
        <v>832</v>
      </c>
      <c r="X178" s="848">
        <f t="shared" ca="1" si="16"/>
        <v>12.425000000000001</v>
      </c>
      <c r="Y178" s="48">
        <v>166</v>
      </c>
    </row>
    <row r="179" spans="1:25" ht="12" customHeight="1">
      <c r="A179" s="48"/>
      <c r="B179" s="514" t="s">
        <v>47</v>
      </c>
      <c r="C179" s="349" t="s">
        <v>366</v>
      </c>
      <c r="D179" s="513"/>
      <c r="E179" s="2299">
        <f t="shared" si="14"/>
        <v>2308479658</v>
      </c>
      <c r="F179" s="3090">
        <f t="shared" si="15"/>
        <v>134.60751258111134</v>
      </c>
      <c r="G179" s="2367"/>
      <c r="H179" s="1739"/>
      <c r="I179" s="1687">
        <v>88409761</v>
      </c>
      <c r="J179" s="1687">
        <v>103658331</v>
      </c>
      <c r="K179" s="1687">
        <v>18459808</v>
      </c>
      <c r="L179" s="1687">
        <v>341841938</v>
      </c>
      <c r="M179" s="1687">
        <v>583442111</v>
      </c>
      <c r="N179" s="1687">
        <v>487054444</v>
      </c>
      <c r="O179" s="1689">
        <v>402468499</v>
      </c>
      <c r="P179" s="1687">
        <v>40793090</v>
      </c>
      <c r="Q179" s="1687">
        <v>242351676</v>
      </c>
      <c r="R179" s="357" t="s">
        <v>367</v>
      </c>
      <c r="S179" s="358" t="s">
        <v>76</v>
      </c>
      <c r="T179" s="515">
        <v>1</v>
      </c>
      <c r="U179" s="1644">
        <v>36526</v>
      </c>
      <c r="V179" s="516" t="s">
        <v>89</v>
      </c>
      <c r="W179" s="516" t="s">
        <v>1210</v>
      </c>
      <c r="X179" s="847">
        <f t="shared" ca="1" si="16"/>
        <v>13.055555555555555</v>
      </c>
      <c r="Y179" s="48"/>
    </row>
    <row r="180" spans="1:25" ht="12" customHeight="1">
      <c r="A180" s="48">
        <v>168</v>
      </c>
      <c r="B180" s="497" t="s">
        <v>47</v>
      </c>
      <c r="C180" s="326" t="s">
        <v>1266</v>
      </c>
      <c r="D180" s="464" t="s">
        <v>46</v>
      </c>
      <c r="E180" s="2291">
        <f t="shared" si="14"/>
        <v>2270049965</v>
      </c>
      <c r="F180" s="3090">
        <f t="shared" si="15"/>
        <v>134.59953643845134</v>
      </c>
      <c r="G180" s="2356">
        <f>91+131.6+0+268.9+448.8+370.2+404.3+45.2+247.1</f>
        <v>2007.1</v>
      </c>
      <c r="H180" s="1722"/>
      <c r="I180" s="1612">
        <v>98942042</v>
      </c>
      <c r="J180" s="1612">
        <v>115083530</v>
      </c>
      <c r="K180" s="1612">
        <v>18120693</v>
      </c>
      <c r="L180" s="1612">
        <v>316240073</v>
      </c>
      <c r="M180" s="1612">
        <v>594994125</v>
      </c>
      <c r="N180" s="1612">
        <v>490815079</v>
      </c>
      <c r="O180" s="1697">
        <v>384428359</v>
      </c>
      <c r="P180" s="1612">
        <v>42842857</v>
      </c>
      <c r="Q180" s="1612">
        <v>208583207</v>
      </c>
      <c r="R180" s="321" t="s">
        <v>291</v>
      </c>
      <c r="S180" s="322" t="s">
        <v>76</v>
      </c>
      <c r="T180" s="476">
        <v>1</v>
      </c>
      <c r="U180" s="1633">
        <v>40909</v>
      </c>
      <c r="V180" s="477" t="s">
        <v>82</v>
      </c>
      <c r="W180" s="477" t="s">
        <v>292</v>
      </c>
      <c r="X180" s="848">
        <f t="shared" ca="1" si="16"/>
        <v>1.0555555555555556</v>
      </c>
      <c r="Y180" s="48">
        <v>168</v>
      </c>
    </row>
    <row r="181" spans="1:25" ht="12" customHeight="1">
      <c r="A181" s="48"/>
      <c r="B181" s="483" t="s">
        <v>47</v>
      </c>
      <c r="C181" s="323" t="s">
        <v>1016</v>
      </c>
      <c r="D181" s="499" t="s">
        <v>46</v>
      </c>
      <c r="E181" s="3062">
        <f t="shared" si="14"/>
        <v>2245122612</v>
      </c>
      <c r="F181" s="3090">
        <f t="shared" si="15"/>
        <v>134.78038275240232</v>
      </c>
      <c r="G181" s="2348"/>
      <c r="H181" s="1724"/>
      <c r="I181" s="1674">
        <v>97315785</v>
      </c>
      <c r="J181" s="1674">
        <v>116084065</v>
      </c>
      <c r="K181" s="1674">
        <v>18903970</v>
      </c>
      <c r="L181" s="1674">
        <v>328621553</v>
      </c>
      <c r="M181" s="1674">
        <v>591539735</v>
      </c>
      <c r="N181" s="1674">
        <v>488607350</v>
      </c>
      <c r="O181" s="1604">
        <v>329115175</v>
      </c>
      <c r="P181" s="1674">
        <v>43421921</v>
      </c>
      <c r="Q181" s="1674">
        <v>231513058</v>
      </c>
      <c r="R181" s="314" t="s">
        <v>279</v>
      </c>
      <c r="S181" s="315" t="s">
        <v>76</v>
      </c>
      <c r="T181" s="468">
        <v>1</v>
      </c>
      <c r="U181" s="1625">
        <v>38029</v>
      </c>
      <c r="V181" s="469" t="s">
        <v>82</v>
      </c>
      <c r="W181" s="469" t="s">
        <v>280</v>
      </c>
      <c r="X181" s="847">
        <f t="shared" ca="1" si="16"/>
        <v>8.9416666666666664</v>
      </c>
      <c r="Y181" s="48"/>
    </row>
    <row r="182" spans="1:25" ht="12" customHeight="1">
      <c r="A182" s="48">
        <v>170</v>
      </c>
      <c r="B182" s="860" t="s">
        <v>47</v>
      </c>
      <c r="C182" s="1872" t="s">
        <v>345</v>
      </c>
      <c r="D182" s="499" t="s">
        <v>46</v>
      </c>
      <c r="E182" s="3061">
        <f t="shared" si="14"/>
        <v>2365803994</v>
      </c>
      <c r="F182" s="3090">
        <f t="shared" si="15"/>
        <v>134.90286854577397</v>
      </c>
      <c r="G182" s="2362"/>
      <c r="H182" s="1736"/>
      <c r="I182" s="1674">
        <v>84383371</v>
      </c>
      <c r="J182" s="1674">
        <v>98265098</v>
      </c>
      <c r="K182" s="1674">
        <v>18014998</v>
      </c>
      <c r="L182" s="1674">
        <v>337022600</v>
      </c>
      <c r="M182" s="1674">
        <v>584348654</v>
      </c>
      <c r="N182" s="1674">
        <v>485706680</v>
      </c>
      <c r="O182" s="1604">
        <v>492516781</v>
      </c>
      <c r="P182" s="1674">
        <v>39056514</v>
      </c>
      <c r="Q182" s="1674">
        <v>226489298</v>
      </c>
      <c r="R182" s="336" t="s">
        <v>346</v>
      </c>
      <c r="S182" s="337" t="s">
        <v>76</v>
      </c>
      <c r="T182" s="493">
        <v>1</v>
      </c>
      <c r="U182" s="1640">
        <v>35855</v>
      </c>
      <c r="V182" s="494" t="s">
        <v>82</v>
      </c>
      <c r="W182" s="494" t="s">
        <v>128</v>
      </c>
      <c r="X182" s="848">
        <f t="shared" ca="1" si="16"/>
        <v>14.888888888888889</v>
      </c>
      <c r="Y182" s="48">
        <v>170</v>
      </c>
    </row>
    <row r="183" spans="1:25" ht="12" customHeight="1">
      <c r="A183" s="48"/>
      <c r="B183" s="470" t="s">
        <v>47</v>
      </c>
      <c r="C183" s="349" t="s">
        <v>820</v>
      </c>
      <c r="D183" s="471"/>
      <c r="E183" s="2298">
        <f t="shared" si="14"/>
        <v>2172501193</v>
      </c>
      <c r="F183" s="3090">
        <f t="shared" si="15"/>
        <v>134.95520473591804</v>
      </c>
      <c r="G183" s="2361"/>
      <c r="H183" s="1735"/>
      <c r="I183" s="1689">
        <v>98594198</v>
      </c>
      <c r="J183" s="1689">
        <v>129072891</v>
      </c>
      <c r="K183" s="1689">
        <v>17316306</v>
      </c>
      <c r="L183" s="1689">
        <v>304145889</v>
      </c>
      <c r="M183" s="1689">
        <v>591972098</v>
      </c>
      <c r="N183" s="1689">
        <v>484739970</v>
      </c>
      <c r="O183" s="1689">
        <v>311474285</v>
      </c>
      <c r="P183" s="1689">
        <v>57000521</v>
      </c>
      <c r="Q183" s="1689">
        <v>178185035</v>
      </c>
      <c r="R183" s="357" t="s">
        <v>227</v>
      </c>
      <c r="S183" s="358" t="s">
        <v>76</v>
      </c>
      <c r="T183" s="515">
        <v>1</v>
      </c>
      <c r="U183" s="1641">
        <v>39646</v>
      </c>
      <c r="V183" s="516" t="s">
        <v>89</v>
      </c>
      <c r="W183" s="516" t="s">
        <v>229</v>
      </c>
      <c r="X183" s="847">
        <f t="shared" ca="1" si="16"/>
        <v>4.5111111111111111</v>
      </c>
      <c r="Y183" s="48"/>
    </row>
    <row r="184" spans="1:25" ht="12" customHeight="1">
      <c r="A184" s="48">
        <v>172</v>
      </c>
      <c r="B184" s="490" t="s">
        <v>47</v>
      </c>
      <c r="C184" s="350" t="s">
        <v>266</v>
      </c>
      <c r="D184" s="464" t="s">
        <v>46</v>
      </c>
      <c r="E184" s="2292">
        <f t="shared" si="14"/>
        <v>2255202255</v>
      </c>
      <c r="F184" s="3090">
        <f t="shared" si="15"/>
        <v>135.46222445430152</v>
      </c>
      <c r="G184" s="2357"/>
      <c r="H184" s="1732"/>
      <c r="I184" s="1608">
        <v>111758768</v>
      </c>
      <c r="J184" s="1612">
        <v>120563401</v>
      </c>
      <c r="K184" s="1612">
        <v>18523925</v>
      </c>
      <c r="L184" s="1612">
        <v>328664415</v>
      </c>
      <c r="M184" s="1612">
        <v>590410582</v>
      </c>
      <c r="N184" s="1612">
        <v>486481841</v>
      </c>
      <c r="O184" s="1697">
        <v>355588061</v>
      </c>
      <c r="P184" s="1612">
        <v>39993996</v>
      </c>
      <c r="Q184" s="1612">
        <v>203217266</v>
      </c>
      <c r="R184" s="333" t="s">
        <v>267</v>
      </c>
      <c r="S184" s="334" t="s">
        <v>76</v>
      </c>
      <c r="T184" s="491">
        <v>1</v>
      </c>
      <c r="U184" s="1629">
        <v>37574</v>
      </c>
      <c r="V184" s="492" t="s">
        <v>268</v>
      </c>
      <c r="W184" s="492" t="s">
        <v>212</v>
      </c>
      <c r="X184" s="848">
        <f t="shared" ca="1" si="16"/>
        <v>10.186111111111112</v>
      </c>
      <c r="Y184" s="48">
        <v>172</v>
      </c>
    </row>
    <row r="185" spans="1:25" ht="12" customHeight="1">
      <c r="A185" s="48"/>
      <c r="B185" s="505" t="s">
        <v>47</v>
      </c>
      <c r="C185" s="348" t="s">
        <v>330</v>
      </c>
      <c r="D185" s="499" t="s">
        <v>46</v>
      </c>
      <c r="E185" s="1741">
        <f t="shared" si="14"/>
        <v>2264278680</v>
      </c>
      <c r="F185" s="3090">
        <f t="shared" si="15"/>
        <v>135.65565043679658</v>
      </c>
      <c r="G185" s="2364"/>
      <c r="H185" s="1734"/>
      <c r="I185" s="1603">
        <v>96146819</v>
      </c>
      <c r="J185" s="1604">
        <v>121804591</v>
      </c>
      <c r="K185" s="1674">
        <v>18298095</v>
      </c>
      <c r="L185" s="1674">
        <v>328120116</v>
      </c>
      <c r="M185" s="1674">
        <v>591260535</v>
      </c>
      <c r="N185" s="1674">
        <v>485881030</v>
      </c>
      <c r="O185" s="1604">
        <v>344544403</v>
      </c>
      <c r="P185" s="1674">
        <v>42286988</v>
      </c>
      <c r="Q185" s="1674">
        <v>235936103</v>
      </c>
      <c r="R185" s="331" t="s">
        <v>331</v>
      </c>
      <c r="S185" s="332" t="s">
        <v>76</v>
      </c>
      <c r="T185" s="488">
        <v>1</v>
      </c>
      <c r="U185" s="1636">
        <v>38669</v>
      </c>
      <c r="V185" s="489" t="s">
        <v>231</v>
      </c>
      <c r="W185" s="489" t="s">
        <v>1053</v>
      </c>
      <c r="X185" s="847">
        <f t="shared" ca="1" si="16"/>
        <v>7.1888888888888891</v>
      </c>
      <c r="Y185" s="48"/>
    </row>
    <row r="186" spans="1:25" ht="12" customHeight="1">
      <c r="A186" s="48">
        <v>174</v>
      </c>
      <c r="B186" s="1443" t="s">
        <v>1820</v>
      </c>
      <c r="C186" s="313" t="s">
        <v>226</v>
      </c>
      <c r="D186" s="1378"/>
      <c r="E186" s="1746">
        <f t="shared" ref="E186:E249" si="17">SUM(I186:Q186)</f>
        <v>2259147138</v>
      </c>
      <c r="F186" s="3090">
        <f t="shared" ref="F186:F249" si="18">SUM(I186/I$11,J186/J$11,K186/K$11,L186/L$11,M186/M$11,N186/N$11,O186/O$11,P186/P$11,Q186/Q$11)/9*100</f>
        <v>135.78898339168842</v>
      </c>
      <c r="G186" s="2348"/>
      <c r="H186" s="1724"/>
      <c r="I186" s="1603">
        <v>91515798</v>
      </c>
      <c r="J186" s="1674">
        <v>110224188</v>
      </c>
      <c r="K186" s="1674">
        <v>19946439</v>
      </c>
      <c r="L186" s="1674">
        <v>345841601</v>
      </c>
      <c r="M186" s="1674">
        <v>587893539</v>
      </c>
      <c r="N186" s="1674">
        <v>488155324</v>
      </c>
      <c r="O186" s="1604">
        <v>308708335</v>
      </c>
      <c r="P186" s="1674">
        <v>43915643</v>
      </c>
      <c r="Q186" s="1674">
        <v>262946271</v>
      </c>
      <c r="R186" s="314" t="s">
        <v>168</v>
      </c>
      <c r="S186" s="315" t="s">
        <v>76</v>
      </c>
      <c r="T186" s="468">
        <v>1</v>
      </c>
      <c r="U186" s="1625">
        <v>37165</v>
      </c>
      <c r="V186" s="469" t="s">
        <v>82</v>
      </c>
      <c r="W186" s="469" t="s">
        <v>198</v>
      </c>
      <c r="X186" s="848">
        <f t="shared" ca="1" si="16"/>
        <v>11.305555555555555</v>
      </c>
      <c r="Y186" s="48">
        <v>174</v>
      </c>
    </row>
    <row r="187" spans="1:25" ht="12" customHeight="1">
      <c r="A187" s="48"/>
      <c r="B187" s="1371" t="s">
        <v>47</v>
      </c>
      <c r="C187" s="1452" t="s">
        <v>333</v>
      </c>
      <c r="D187" s="1470"/>
      <c r="E187" s="2293">
        <f t="shared" si="17"/>
        <v>2291106464</v>
      </c>
      <c r="F187" s="3090">
        <f t="shared" si="18"/>
        <v>135.95646972175186</v>
      </c>
      <c r="G187" s="2355"/>
      <c r="H187" s="1730"/>
      <c r="I187" s="1702">
        <v>92748544</v>
      </c>
      <c r="J187" s="1689">
        <v>119946244</v>
      </c>
      <c r="K187" s="1689">
        <v>17990169</v>
      </c>
      <c r="L187" s="1689">
        <v>329380316</v>
      </c>
      <c r="M187" s="1689">
        <v>603767598</v>
      </c>
      <c r="N187" s="1689">
        <v>497973199</v>
      </c>
      <c r="O187" s="1689">
        <v>359619434</v>
      </c>
      <c r="P187" s="1689">
        <v>44674648</v>
      </c>
      <c r="Q187" s="1689">
        <v>225006312</v>
      </c>
      <c r="R187" s="329" t="s">
        <v>334</v>
      </c>
      <c r="S187" s="338" t="s">
        <v>76</v>
      </c>
      <c r="T187" s="496">
        <v>1</v>
      </c>
      <c r="U187" s="1624">
        <v>39474</v>
      </c>
      <c r="V187" s="485" t="s">
        <v>320</v>
      </c>
      <c r="W187" s="485" t="s">
        <v>335</v>
      </c>
      <c r="X187" s="847">
        <f t="shared" ref="X187:X250" ca="1" si="19">YEARFRAC(U187,X$6)</f>
        <v>4.9833333333333334</v>
      </c>
      <c r="Y187" s="48"/>
    </row>
    <row r="188" spans="1:25" ht="12" customHeight="1">
      <c r="A188" s="48">
        <v>176</v>
      </c>
      <c r="B188" s="497" t="s">
        <v>47</v>
      </c>
      <c r="C188" s="274" t="s">
        <v>1781</v>
      </c>
      <c r="D188" s="464" t="s">
        <v>46</v>
      </c>
      <c r="E188" s="2291">
        <f t="shared" si="17"/>
        <v>2297437906</v>
      </c>
      <c r="F188" s="3090">
        <f t="shared" si="18"/>
        <v>135.94951856737919</v>
      </c>
      <c r="G188" s="2356">
        <f>623+823+0+2229+838+2664+2055+349+1962</f>
        <v>11543</v>
      </c>
      <c r="H188" s="1722"/>
      <c r="I188" s="1678">
        <v>93401769</v>
      </c>
      <c r="J188" s="1697">
        <v>119138243</v>
      </c>
      <c r="K188" s="1697">
        <v>18150467</v>
      </c>
      <c r="L188" s="1697">
        <v>328201681</v>
      </c>
      <c r="M188" s="1697">
        <v>611353872</v>
      </c>
      <c r="N188" s="1697">
        <v>509016843</v>
      </c>
      <c r="O188" s="1697">
        <v>365060336</v>
      </c>
      <c r="P188" s="1697">
        <v>46447306</v>
      </c>
      <c r="Q188" s="1697">
        <v>206667389</v>
      </c>
      <c r="R188" s="321" t="s">
        <v>1771</v>
      </c>
      <c r="S188" s="320" t="s">
        <v>491</v>
      </c>
      <c r="T188" s="476">
        <v>1</v>
      </c>
      <c r="U188" s="1633">
        <v>41159</v>
      </c>
      <c r="V188" s="477" t="s">
        <v>224</v>
      </c>
      <c r="W188" s="477" t="s">
        <v>225</v>
      </c>
      <c r="X188" s="848">
        <f t="shared" ca="1" si="19"/>
        <v>0.37222222222222223</v>
      </c>
      <c r="Y188" s="48">
        <v>176</v>
      </c>
    </row>
    <row r="189" spans="1:25" ht="12" customHeight="1">
      <c r="A189" s="48"/>
      <c r="B189" s="1344" t="s">
        <v>1820</v>
      </c>
      <c r="C189" s="348" t="s">
        <v>1175</v>
      </c>
      <c r="D189" s="487"/>
      <c r="E189" s="1741">
        <f t="shared" si="17"/>
        <v>2241909837</v>
      </c>
      <c r="F189" s="3090">
        <f t="shared" si="18"/>
        <v>135.89504743252294</v>
      </c>
      <c r="G189" s="2364"/>
      <c r="H189" s="1734"/>
      <c r="I189" s="1603">
        <v>90370318</v>
      </c>
      <c r="J189" s="1674">
        <v>123954067</v>
      </c>
      <c r="K189" s="1674">
        <v>18395006</v>
      </c>
      <c r="L189" s="1674">
        <v>323070215</v>
      </c>
      <c r="M189" s="1674">
        <v>597005138</v>
      </c>
      <c r="N189" s="1674">
        <v>489111257</v>
      </c>
      <c r="O189" s="1604">
        <v>345595489</v>
      </c>
      <c r="P189" s="1674">
        <v>51207954</v>
      </c>
      <c r="Q189" s="1674">
        <v>203200393</v>
      </c>
      <c r="R189" s="331" t="s">
        <v>143</v>
      </c>
      <c r="S189" s="332" t="s">
        <v>76</v>
      </c>
      <c r="T189" s="488">
        <v>1</v>
      </c>
      <c r="U189" s="1636">
        <v>39008</v>
      </c>
      <c r="V189" s="489" t="s">
        <v>89</v>
      </c>
      <c r="W189" s="489" t="s">
        <v>144</v>
      </c>
      <c r="X189" s="847">
        <f t="shared" ca="1" si="19"/>
        <v>6.2583333333333337</v>
      </c>
      <c r="Y189" s="48"/>
    </row>
    <row r="190" spans="1:25" ht="12" customHeight="1">
      <c r="A190" s="48">
        <v>178</v>
      </c>
      <c r="B190" s="498" t="s">
        <v>47</v>
      </c>
      <c r="C190" s="328" t="s">
        <v>1796</v>
      </c>
      <c r="D190" s="499" t="s">
        <v>46</v>
      </c>
      <c r="E190" s="1745">
        <f t="shared" si="17"/>
        <v>2249396225</v>
      </c>
      <c r="F190" s="3090">
        <f t="shared" si="18"/>
        <v>135.98718434404626</v>
      </c>
      <c r="G190" s="2354">
        <f>164+222+0+551+688+573+580+116+619</f>
        <v>3513</v>
      </c>
      <c r="H190" s="1729"/>
      <c r="I190" s="1604">
        <v>103173012</v>
      </c>
      <c r="J190" s="1604">
        <v>117552921</v>
      </c>
      <c r="K190" s="1604">
        <v>18433343</v>
      </c>
      <c r="L190" s="1604">
        <v>314517710</v>
      </c>
      <c r="M190" s="1604">
        <v>588200518</v>
      </c>
      <c r="N190" s="1604">
        <v>483635881</v>
      </c>
      <c r="O190" s="1604">
        <v>355771296</v>
      </c>
      <c r="P190" s="1604">
        <v>44865372</v>
      </c>
      <c r="Q190" s="1604">
        <v>223246172</v>
      </c>
      <c r="R190" s="324" t="s">
        <v>1789</v>
      </c>
      <c r="S190" s="325" t="s">
        <v>76</v>
      </c>
      <c r="T190" s="479">
        <v>1</v>
      </c>
      <c r="U190" s="1634">
        <v>41195</v>
      </c>
      <c r="V190" s="480" t="s">
        <v>605</v>
      </c>
      <c r="W190" s="480" t="s">
        <v>1788</v>
      </c>
      <c r="X190" s="848">
        <f t="shared" ca="1" si="19"/>
        <v>0.2722222222222222</v>
      </c>
      <c r="Y190" s="48">
        <v>178</v>
      </c>
    </row>
    <row r="191" spans="1:25" ht="12" customHeight="1">
      <c r="A191" s="48"/>
      <c r="B191" s="470" t="s">
        <v>47</v>
      </c>
      <c r="C191" s="349" t="s">
        <v>822</v>
      </c>
      <c r="D191" s="471"/>
      <c r="E191" s="2298">
        <f t="shared" si="17"/>
        <v>2188122224</v>
      </c>
      <c r="F191" s="3090">
        <f t="shared" si="18"/>
        <v>136.08049558970814</v>
      </c>
      <c r="G191" s="2361"/>
      <c r="H191" s="1735"/>
      <c r="I191" s="1689">
        <v>98594198</v>
      </c>
      <c r="J191" s="1689">
        <v>129072891</v>
      </c>
      <c r="K191" s="1689">
        <v>17492159</v>
      </c>
      <c r="L191" s="1689">
        <v>306652298</v>
      </c>
      <c r="M191" s="1689">
        <v>591788579</v>
      </c>
      <c r="N191" s="1689">
        <v>484766539</v>
      </c>
      <c r="O191" s="1689">
        <v>313902785</v>
      </c>
      <c r="P191" s="1689">
        <v>57000521</v>
      </c>
      <c r="Q191" s="1689">
        <v>188852254</v>
      </c>
      <c r="R191" s="357" t="s">
        <v>227</v>
      </c>
      <c r="S191" s="358" t="s">
        <v>76</v>
      </c>
      <c r="T191" s="515">
        <v>1</v>
      </c>
      <c r="U191" s="1641">
        <v>39646</v>
      </c>
      <c r="V191" s="516" t="s">
        <v>89</v>
      </c>
      <c r="W191" s="516" t="s">
        <v>229</v>
      </c>
      <c r="X191" s="847">
        <f t="shared" ca="1" si="19"/>
        <v>4.5111111111111111</v>
      </c>
      <c r="Y191" s="48"/>
    </row>
    <row r="192" spans="1:25" ht="12" customHeight="1">
      <c r="A192" s="48">
        <v>180</v>
      </c>
      <c r="B192" s="1342" t="s">
        <v>1820</v>
      </c>
      <c r="C192" s="350" t="s">
        <v>1176</v>
      </c>
      <c r="D192" s="507"/>
      <c r="E192" s="2292">
        <f t="shared" si="17"/>
        <v>2244037427</v>
      </c>
      <c r="F192" s="3090">
        <f t="shared" si="18"/>
        <v>136.19433874559792</v>
      </c>
      <c r="G192" s="2352">
        <f>104+304+0+257+519+236+93+341+481</f>
        <v>2335</v>
      </c>
      <c r="H192" s="1732"/>
      <c r="I192" s="1608">
        <v>92405195</v>
      </c>
      <c r="J192" s="1697">
        <v>122423943</v>
      </c>
      <c r="K192" s="1697">
        <v>18395118</v>
      </c>
      <c r="L192" s="1697">
        <v>322300682</v>
      </c>
      <c r="M192" s="1697">
        <v>597005058</v>
      </c>
      <c r="N192" s="1697">
        <v>490939923</v>
      </c>
      <c r="O192" s="1697">
        <v>345595121</v>
      </c>
      <c r="P192" s="1697">
        <v>51771948</v>
      </c>
      <c r="Q192" s="1697">
        <v>203200439</v>
      </c>
      <c r="R192" s="333" t="s">
        <v>810</v>
      </c>
      <c r="S192" s="334" t="s">
        <v>76</v>
      </c>
      <c r="T192" s="491">
        <v>1</v>
      </c>
      <c r="U192" s="1629">
        <v>40901</v>
      </c>
      <c r="V192" s="492" t="s">
        <v>89</v>
      </c>
      <c r="W192" s="492" t="s">
        <v>144</v>
      </c>
      <c r="X192" s="848">
        <f t="shared" ca="1" si="19"/>
        <v>1.075</v>
      </c>
      <c r="Y192" s="48">
        <v>180</v>
      </c>
    </row>
    <row r="193" spans="1:25" ht="12" customHeight="1">
      <c r="A193" s="48"/>
      <c r="B193" s="483" t="s">
        <v>47</v>
      </c>
      <c r="C193" s="323" t="s">
        <v>314</v>
      </c>
      <c r="D193" s="467"/>
      <c r="E193" s="1746">
        <f t="shared" si="17"/>
        <v>2315576981</v>
      </c>
      <c r="F193" s="3090">
        <f t="shared" si="18"/>
        <v>136.59931992535002</v>
      </c>
      <c r="G193" s="2348"/>
      <c r="H193" s="1724"/>
      <c r="I193" s="1681">
        <v>95078040</v>
      </c>
      <c r="J193" s="1674">
        <v>114362276</v>
      </c>
      <c r="K193" s="1674">
        <v>17546061</v>
      </c>
      <c r="L193" s="1674">
        <v>342106542</v>
      </c>
      <c r="M193" s="1674">
        <v>586814539</v>
      </c>
      <c r="N193" s="1674">
        <v>486559188</v>
      </c>
      <c r="O193" s="1604">
        <v>403704171</v>
      </c>
      <c r="P193" s="1674">
        <v>43088775</v>
      </c>
      <c r="Q193" s="1674">
        <v>226317389</v>
      </c>
      <c r="R193" s="314" t="s">
        <v>315</v>
      </c>
      <c r="S193" s="315" t="s">
        <v>76</v>
      </c>
      <c r="T193" s="468">
        <v>1</v>
      </c>
      <c r="U193" s="1632">
        <v>35938</v>
      </c>
      <c r="V193" s="469" t="s">
        <v>129</v>
      </c>
      <c r="W193" s="469" t="s">
        <v>316</v>
      </c>
      <c r="X193" s="847">
        <f t="shared" ca="1" si="19"/>
        <v>14.661111111111111</v>
      </c>
      <c r="Y193" s="48"/>
    </row>
    <row r="194" spans="1:25" ht="12" customHeight="1">
      <c r="A194" s="48">
        <v>182</v>
      </c>
      <c r="B194" s="498" t="s">
        <v>47</v>
      </c>
      <c r="C194" s="1453" t="s">
        <v>891</v>
      </c>
      <c r="D194" s="499" t="s">
        <v>46</v>
      </c>
      <c r="E194" s="2300">
        <f t="shared" si="17"/>
        <v>2282106181</v>
      </c>
      <c r="F194" s="3090">
        <f t="shared" si="18"/>
        <v>136.59529491491523</v>
      </c>
      <c r="G194" s="2370">
        <f>60+238+0+139+267+126+31+238+341</f>
        <v>1440</v>
      </c>
      <c r="H194" s="1742"/>
      <c r="I194" s="1681">
        <v>101881577</v>
      </c>
      <c r="J194" s="1604">
        <v>116994050</v>
      </c>
      <c r="K194" s="1604">
        <v>18230668</v>
      </c>
      <c r="L194" s="1604">
        <v>318456169</v>
      </c>
      <c r="M194" s="1604">
        <v>594163111</v>
      </c>
      <c r="N194" s="1604">
        <v>489788534</v>
      </c>
      <c r="O194" s="1604">
        <v>381166142</v>
      </c>
      <c r="P194" s="1604">
        <v>44562877</v>
      </c>
      <c r="Q194" s="1604">
        <v>216863053</v>
      </c>
      <c r="R194" s="340" t="s">
        <v>291</v>
      </c>
      <c r="S194" s="341" t="s">
        <v>76</v>
      </c>
      <c r="T194" s="500">
        <v>1</v>
      </c>
      <c r="U194" s="1627">
        <v>40594</v>
      </c>
      <c r="V194" s="501" t="s">
        <v>82</v>
      </c>
      <c r="W194" s="501" t="s">
        <v>892</v>
      </c>
      <c r="X194" s="848">
        <f t="shared" ca="1" si="19"/>
        <v>1.9194444444444445</v>
      </c>
      <c r="Y194" s="48">
        <v>182</v>
      </c>
    </row>
    <row r="195" spans="1:25" ht="12" customHeight="1">
      <c r="A195" s="48"/>
      <c r="B195" s="581" t="s">
        <v>47</v>
      </c>
      <c r="C195" s="349" t="s">
        <v>910</v>
      </c>
      <c r="D195" s="495" t="s">
        <v>46</v>
      </c>
      <c r="E195" s="2298">
        <f t="shared" si="17"/>
        <v>2300006628</v>
      </c>
      <c r="F195" s="3090">
        <f t="shared" si="18"/>
        <v>136.58696352244857</v>
      </c>
      <c r="G195" s="2369">
        <f>27+96+0+285+82+43+28+340+104</f>
        <v>1005</v>
      </c>
      <c r="H195" s="1720"/>
      <c r="I195" s="1703">
        <v>88972905</v>
      </c>
      <c r="J195" s="1687">
        <v>114068027</v>
      </c>
      <c r="K195" s="1687">
        <v>19274399</v>
      </c>
      <c r="L195" s="1687">
        <v>331714516</v>
      </c>
      <c r="M195" s="1687">
        <v>586950831</v>
      </c>
      <c r="N195" s="1687">
        <v>487392242</v>
      </c>
      <c r="O195" s="1689">
        <v>388134680</v>
      </c>
      <c r="P195" s="1687">
        <v>43103900</v>
      </c>
      <c r="Q195" s="1687">
        <v>240395128</v>
      </c>
      <c r="R195" s="329" t="s">
        <v>909</v>
      </c>
      <c r="S195" s="338" t="s">
        <v>76</v>
      </c>
      <c r="T195" s="916">
        <v>2</v>
      </c>
      <c r="U195" s="1642">
        <v>40825</v>
      </c>
      <c r="V195" s="485" t="s">
        <v>86</v>
      </c>
      <c r="W195" s="485" t="s">
        <v>904</v>
      </c>
      <c r="X195" s="847">
        <f t="shared" ca="1" si="19"/>
        <v>1.2833333333333334</v>
      </c>
      <c r="Y195" s="48"/>
    </row>
    <row r="196" spans="1:25" ht="12" customHeight="1">
      <c r="A196" s="48">
        <v>184</v>
      </c>
      <c r="B196" s="490" t="s">
        <v>47</v>
      </c>
      <c r="C196" s="319" t="s">
        <v>1501</v>
      </c>
      <c r="D196" s="1778"/>
      <c r="E196" s="2291">
        <f t="shared" si="17"/>
        <v>2238662912</v>
      </c>
      <c r="F196" s="3090">
        <f t="shared" si="18"/>
        <v>136.59706321108925</v>
      </c>
      <c r="G196" s="2368">
        <f>143+781+0+366+305+522+136+120+186</f>
        <v>2559</v>
      </c>
      <c r="H196" s="1740"/>
      <c r="I196" s="1608">
        <v>98033089</v>
      </c>
      <c r="J196" s="1612">
        <v>117288997</v>
      </c>
      <c r="K196" s="1612">
        <v>20007429</v>
      </c>
      <c r="L196" s="1612">
        <v>300983585</v>
      </c>
      <c r="M196" s="1612">
        <v>593540724</v>
      </c>
      <c r="N196" s="1612">
        <v>465869981</v>
      </c>
      <c r="O196" s="1612">
        <v>354012393</v>
      </c>
      <c r="P196" s="1612">
        <v>44537348</v>
      </c>
      <c r="Q196" s="1612">
        <v>244389366</v>
      </c>
      <c r="R196" s="1779" t="s">
        <v>637</v>
      </c>
      <c r="S196" s="322" t="s">
        <v>76</v>
      </c>
      <c r="T196" s="322">
        <v>1</v>
      </c>
      <c r="U196" s="1629">
        <v>41153</v>
      </c>
      <c r="V196" s="492" t="s">
        <v>84</v>
      </c>
      <c r="W196" s="492" t="s">
        <v>916</v>
      </c>
      <c r="X196" s="848">
        <f t="shared" ca="1" si="19"/>
        <v>0.3888888888888889</v>
      </c>
      <c r="Y196" s="48">
        <v>184</v>
      </c>
    </row>
    <row r="197" spans="1:25" ht="12" customHeight="1">
      <c r="A197" s="48"/>
      <c r="B197" s="505" t="s">
        <v>47</v>
      </c>
      <c r="C197" s="328" t="s">
        <v>1005</v>
      </c>
      <c r="D197" s="487"/>
      <c r="E197" s="1741">
        <f t="shared" si="17"/>
        <v>2238694505</v>
      </c>
      <c r="F197" s="3090">
        <f t="shared" si="18"/>
        <v>136.60552098053159</v>
      </c>
      <c r="G197" s="2360">
        <f>139+130+0+179+298+282+115+542+698</f>
        <v>2383</v>
      </c>
      <c r="H197" s="1733"/>
      <c r="I197" s="1603">
        <v>98028792</v>
      </c>
      <c r="J197" s="1674">
        <v>117310767</v>
      </c>
      <c r="K197" s="1674">
        <v>20007429</v>
      </c>
      <c r="L197" s="1674">
        <v>300981953</v>
      </c>
      <c r="M197" s="1674">
        <v>593542577</v>
      </c>
      <c r="N197" s="1674">
        <v>465867795</v>
      </c>
      <c r="O197" s="1604">
        <v>354012394</v>
      </c>
      <c r="P197" s="1674">
        <v>44553431</v>
      </c>
      <c r="Q197" s="1674">
        <v>244389367</v>
      </c>
      <c r="R197" s="331" t="s">
        <v>637</v>
      </c>
      <c r="S197" s="332" t="s">
        <v>76</v>
      </c>
      <c r="T197" s="488">
        <v>1</v>
      </c>
      <c r="U197" s="1636">
        <v>40958</v>
      </c>
      <c r="V197" s="489" t="s">
        <v>84</v>
      </c>
      <c r="W197" s="489" t="s">
        <v>916</v>
      </c>
      <c r="X197" s="847">
        <f t="shared" ca="1" si="19"/>
        <v>0.92222222222222228</v>
      </c>
      <c r="Y197" s="48"/>
    </row>
    <row r="198" spans="1:25" ht="12" customHeight="1">
      <c r="A198" s="48">
        <v>186</v>
      </c>
      <c r="B198" s="483" t="s">
        <v>47</v>
      </c>
      <c r="C198" s="328" t="s">
        <v>281</v>
      </c>
      <c r="D198" s="464" t="s">
        <v>46</v>
      </c>
      <c r="E198" s="1746">
        <f t="shared" si="17"/>
        <v>2292891549</v>
      </c>
      <c r="F198" s="3090">
        <f t="shared" si="18"/>
        <v>136.81864255600132</v>
      </c>
      <c r="G198" s="2348"/>
      <c r="H198" s="1724"/>
      <c r="I198" s="1681">
        <v>89684965</v>
      </c>
      <c r="J198" s="1604">
        <v>105751232</v>
      </c>
      <c r="K198" s="1604">
        <v>22233412</v>
      </c>
      <c r="L198" s="1604">
        <v>343638380</v>
      </c>
      <c r="M198" s="1604">
        <v>585087868</v>
      </c>
      <c r="N198" s="1604">
        <v>484798415</v>
      </c>
      <c r="O198" s="1604">
        <v>375780413</v>
      </c>
      <c r="P198" s="1604">
        <v>41277843</v>
      </c>
      <c r="Q198" s="1604">
        <v>244639021</v>
      </c>
      <c r="R198" s="314" t="s">
        <v>173</v>
      </c>
      <c r="S198" s="315" t="s">
        <v>76</v>
      </c>
      <c r="T198" s="468">
        <v>1</v>
      </c>
      <c r="U198" s="1625">
        <v>39179</v>
      </c>
      <c r="V198" s="469" t="s">
        <v>82</v>
      </c>
      <c r="W198" s="469" t="s">
        <v>1028</v>
      </c>
      <c r="X198" s="848">
        <f t="shared" ca="1" si="19"/>
        <v>5.7888888888888888</v>
      </c>
      <c r="Y198" s="48">
        <v>186</v>
      </c>
    </row>
    <row r="199" spans="1:25" ht="12" customHeight="1">
      <c r="A199" s="48"/>
      <c r="B199" s="514" t="s">
        <v>47</v>
      </c>
      <c r="C199" s="356" t="s">
        <v>278</v>
      </c>
      <c r="D199" s="499" t="s">
        <v>46</v>
      </c>
      <c r="E199" s="2299">
        <f t="shared" si="17"/>
        <v>2355315330</v>
      </c>
      <c r="F199" s="3090">
        <f t="shared" si="18"/>
        <v>137.31870957452855</v>
      </c>
      <c r="G199" s="2367"/>
      <c r="H199" s="1739"/>
      <c r="I199" s="1702">
        <v>93000089</v>
      </c>
      <c r="J199" s="1689">
        <v>119652270</v>
      </c>
      <c r="K199" s="1689">
        <v>18199373</v>
      </c>
      <c r="L199" s="1689">
        <v>334446800</v>
      </c>
      <c r="M199" s="1689">
        <v>638666005</v>
      </c>
      <c r="N199" s="1689">
        <v>530428771</v>
      </c>
      <c r="O199" s="1689">
        <v>365375109</v>
      </c>
      <c r="P199" s="1689">
        <v>45421692</v>
      </c>
      <c r="Q199" s="1689">
        <v>210125221</v>
      </c>
      <c r="R199" s="357" t="s">
        <v>223</v>
      </c>
      <c r="S199" s="358" t="s">
        <v>76</v>
      </c>
      <c r="T199" s="515">
        <v>1</v>
      </c>
      <c r="U199" s="1641">
        <v>39298</v>
      </c>
      <c r="V199" s="516" t="s">
        <v>224</v>
      </c>
      <c r="W199" s="516" t="s">
        <v>225</v>
      </c>
      <c r="X199" s="847">
        <f t="shared" ca="1" si="19"/>
        <v>5.4638888888888886</v>
      </c>
      <c r="Y199" s="48"/>
    </row>
    <row r="200" spans="1:25" ht="12" customHeight="1">
      <c r="A200" s="48">
        <v>188</v>
      </c>
      <c r="B200" s="1342" t="s">
        <v>1820</v>
      </c>
      <c r="C200" s="350" t="s">
        <v>295</v>
      </c>
      <c r="D200" s="507"/>
      <c r="E200" s="2292">
        <f t="shared" si="17"/>
        <v>2290067266</v>
      </c>
      <c r="F200" s="3090">
        <f t="shared" si="18"/>
        <v>137.33896211321644</v>
      </c>
      <c r="G200" s="2357"/>
      <c r="H200" s="1732"/>
      <c r="I200" s="1612">
        <v>93441617</v>
      </c>
      <c r="J200" s="1697">
        <v>106320489</v>
      </c>
      <c r="K200" s="1697">
        <v>19632314</v>
      </c>
      <c r="L200" s="1697">
        <v>348857758</v>
      </c>
      <c r="M200" s="1697">
        <v>586746309</v>
      </c>
      <c r="N200" s="1697">
        <v>487311676</v>
      </c>
      <c r="O200" s="1697">
        <v>353434522</v>
      </c>
      <c r="P200" s="1697">
        <v>46968355</v>
      </c>
      <c r="Q200" s="1697">
        <v>247354226</v>
      </c>
      <c r="R200" s="333" t="s">
        <v>296</v>
      </c>
      <c r="S200" s="334" t="s">
        <v>76</v>
      </c>
      <c r="T200" s="491">
        <v>1</v>
      </c>
      <c r="U200" s="1645">
        <v>37420</v>
      </c>
      <c r="V200" s="492" t="s">
        <v>297</v>
      </c>
      <c r="W200" s="492" t="s">
        <v>298</v>
      </c>
      <c r="X200" s="848">
        <f t="shared" ca="1" si="19"/>
        <v>10.605555555555556</v>
      </c>
      <c r="Y200" s="48">
        <v>188</v>
      </c>
    </row>
    <row r="201" spans="1:25" ht="12" customHeight="1">
      <c r="A201" s="48"/>
      <c r="B201" s="505" t="s">
        <v>47</v>
      </c>
      <c r="C201" s="347" t="s">
        <v>388</v>
      </c>
      <c r="D201" s="499" t="s">
        <v>46</v>
      </c>
      <c r="E201" s="1741">
        <f t="shared" si="17"/>
        <v>2305805388</v>
      </c>
      <c r="F201" s="3090">
        <f t="shared" si="18"/>
        <v>137.67918883340218</v>
      </c>
      <c r="G201" s="2364"/>
      <c r="H201" s="1734"/>
      <c r="I201" s="1603">
        <v>102297582</v>
      </c>
      <c r="J201" s="1674">
        <v>124598594</v>
      </c>
      <c r="K201" s="1674">
        <v>18891148</v>
      </c>
      <c r="L201" s="1674">
        <v>330650185</v>
      </c>
      <c r="M201" s="1674">
        <v>618276216</v>
      </c>
      <c r="N201" s="1674">
        <v>507162281</v>
      </c>
      <c r="O201" s="1604">
        <v>339279238</v>
      </c>
      <c r="P201" s="1674">
        <v>42903597</v>
      </c>
      <c r="Q201" s="1674">
        <v>221746547</v>
      </c>
      <c r="R201" s="331" t="s">
        <v>389</v>
      </c>
      <c r="S201" s="332" t="s">
        <v>76</v>
      </c>
      <c r="T201" s="488">
        <v>1</v>
      </c>
      <c r="U201" s="1636">
        <v>37687</v>
      </c>
      <c r="V201" s="489" t="s">
        <v>138</v>
      </c>
      <c r="W201" s="489" t="s">
        <v>390</v>
      </c>
      <c r="X201" s="847">
        <f t="shared" ca="1" si="19"/>
        <v>9.8722222222222218</v>
      </c>
      <c r="Y201" s="48"/>
    </row>
    <row r="202" spans="1:25" ht="12" customHeight="1">
      <c r="A202" s="48">
        <v>190</v>
      </c>
      <c r="B202" s="483" t="s">
        <v>47</v>
      </c>
      <c r="C202" s="347" t="s">
        <v>922</v>
      </c>
      <c r="D202" s="499" t="s">
        <v>46</v>
      </c>
      <c r="E202" s="1745">
        <f t="shared" si="17"/>
        <v>2358082740</v>
      </c>
      <c r="F202" s="3090">
        <f t="shared" si="18"/>
        <v>137.74437524686223</v>
      </c>
      <c r="G202" s="2353">
        <f>31+99+0+187+125+60+21+306+185</f>
        <v>1014</v>
      </c>
      <c r="H202" s="1736"/>
      <c r="I202" s="1603">
        <v>90189213</v>
      </c>
      <c r="J202" s="1674">
        <v>114313454</v>
      </c>
      <c r="K202" s="1674">
        <v>19446901</v>
      </c>
      <c r="L202" s="1674">
        <v>339473946</v>
      </c>
      <c r="M202" s="1674">
        <v>627327795</v>
      </c>
      <c r="N202" s="1674">
        <v>519108703</v>
      </c>
      <c r="O202" s="1604">
        <v>369473789</v>
      </c>
      <c r="P202" s="1674">
        <v>43061571</v>
      </c>
      <c r="Q202" s="1674">
        <v>235687368</v>
      </c>
      <c r="R202" s="336" t="s">
        <v>1499</v>
      </c>
      <c r="S202" s="337" t="s">
        <v>76</v>
      </c>
      <c r="T202" s="1385">
        <v>2</v>
      </c>
      <c r="U202" s="1640">
        <v>40832</v>
      </c>
      <c r="V202" s="494" t="s">
        <v>86</v>
      </c>
      <c r="W202" s="494" t="s">
        <v>904</v>
      </c>
      <c r="X202" s="848">
        <f t="shared" ca="1" si="19"/>
        <v>1.2638888888888888</v>
      </c>
      <c r="Y202" s="48">
        <v>190</v>
      </c>
    </row>
    <row r="203" spans="1:25" ht="12" customHeight="1">
      <c r="A203" s="48"/>
      <c r="B203" s="581" t="s">
        <v>47</v>
      </c>
      <c r="C203" s="316" t="s">
        <v>811</v>
      </c>
      <c r="D203" s="471"/>
      <c r="E203" s="2298">
        <f t="shared" si="17"/>
        <v>2346253164</v>
      </c>
      <c r="F203" s="3090">
        <f t="shared" si="18"/>
        <v>137.8135247000352</v>
      </c>
      <c r="G203" s="2355"/>
      <c r="H203" s="2516"/>
      <c r="I203" s="1703">
        <v>86774946</v>
      </c>
      <c r="J203" s="1687">
        <v>101416893</v>
      </c>
      <c r="K203" s="1687">
        <v>19693180</v>
      </c>
      <c r="L203" s="1687">
        <v>345657866</v>
      </c>
      <c r="M203" s="1687">
        <v>586334524</v>
      </c>
      <c r="N203" s="1687">
        <v>488417712</v>
      </c>
      <c r="O203" s="1689">
        <v>405192167</v>
      </c>
      <c r="P203" s="1687">
        <v>42347894</v>
      </c>
      <c r="Q203" s="1687">
        <v>270417982</v>
      </c>
      <c r="R203" s="317" t="s">
        <v>812</v>
      </c>
      <c r="S203" s="318" t="s">
        <v>76</v>
      </c>
      <c r="T203" s="472">
        <v>1</v>
      </c>
      <c r="U203" s="1637">
        <v>40036</v>
      </c>
      <c r="V203" s="473" t="s">
        <v>86</v>
      </c>
      <c r="W203" s="473" t="s">
        <v>1047</v>
      </c>
      <c r="X203" s="847">
        <f t="shared" ca="1" si="19"/>
        <v>3.4444444444444446</v>
      </c>
      <c r="Y203" s="48"/>
    </row>
    <row r="204" spans="1:25" ht="12" customHeight="1">
      <c r="A204" s="48">
        <v>192</v>
      </c>
      <c r="B204" s="1342" t="s">
        <v>1820</v>
      </c>
      <c r="C204" s="350" t="s">
        <v>324</v>
      </c>
      <c r="D204" s="507"/>
      <c r="E204" s="2292">
        <f t="shared" si="17"/>
        <v>2265881432</v>
      </c>
      <c r="F204" s="3090">
        <f t="shared" si="18"/>
        <v>138.40699190263331</v>
      </c>
      <c r="G204" s="2357"/>
      <c r="H204" s="1732"/>
      <c r="I204" s="1608">
        <v>97701697</v>
      </c>
      <c r="J204" s="1612">
        <v>121941378</v>
      </c>
      <c r="K204" s="1612">
        <v>18654261</v>
      </c>
      <c r="L204" s="1612">
        <v>323454834</v>
      </c>
      <c r="M204" s="1612">
        <v>595857165</v>
      </c>
      <c r="N204" s="1612">
        <v>488783379</v>
      </c>
      <c r="O204" s="1697">
        <v>352490321</v>
      </c>
      <c r="P204" s="1612">
        <v>52004680</v>
      </c>
      <c r="Q204" s="1612">
        <v>214993717</v>
      </c>
      <c r="R204" s="333" t="s">
        <v>325</v>
      </c>
      <c r="S204" s="334" t="s">
        <v>76</v>
      </c>
      <c r="T204" s="491">
        <v>1</v>
      </c>
      <c r="U204" s="1629">
        <v>37640</v>
      </c>
      <c r="V204" s="492" t="s">
        <v>268</v>
      </c>
      <c r="W204" s="492" t="s">
        <v>326</v>
      </c>
      <c r="X204" s="848">
        <f t="shared" ca="1" si="19"/>
        <v>10.005555555555556</v>
      </c>
      <c r="Y204" s="48">
        <v>192</v>
      </c>
    </row>
    <row r="205" spans="1:25" ht="12" customHeight="1">
      <c r="A205" s="48"/>
      <c r="B205" s="498" t="s">
        <v>47</v>
      </c>
      <c r="C205" s="328" t="s">
        <v>239</v>
      </c>
      <c r="D205" s="499" t="s">
        <v>46</v>
      </c>
      <c r="E205" s="1745">
        <f t="shared" si="17"/>
        <v>2348130367</v>
      </c>
      <c r="F205" s="3090">
        <f t="shared" si="18"/>
        <v>138.45896941525052</v>
      </c>
      <c r="G205" s="2359"/>
      <c r="H205" s="1731"/>
      <c r="I205" s="1681">
        <v>89496026</v>
      </c>
      <c r="J205" s="1604">
        <v>101312258</v>
      </c>
      <c r="K205" s="1604">
        <v>21115460</v>
      </c>
      <c r="L205" s="1604">
        <v>339203277</v>
      </c>
      <c r="M205" s="1604">
        <v>581939211</v>
      </c>
      <c r="N205" s="1604">
        <v>489462947</v>
      </c>
      <c r="O205" s="1604">
        <v>435507523</v>
      </c>
      <c r="P205" s="1604">
        <v>42056335</v>
      </c>
      <c r="Q205" s="1604">
        <v>248037330</v>
      </c>
      <c r="R205" s="324" t="s">
        <v>240</v>
      </c>
      <c r="S205" s="325" t="s">
        <v>76</v>
      </c>
      <c r="T205" s="479">
        <v>1</v>
      </c>
      <c r="U205" s="1634">
        <v>39546</v>
      </c>
      <c r="V205" s="480" t="s">
        <v>82</v>
      </c>
      <c r="W205" s="480" t="s">
        <v>128</v>
      </c>
      <c r="X205" s="847">
        <f t="shared" ca="1" si="19"/>
        <v>4.7861111111111114</v>
      </c>
      <c r="Y205" s="48"/>
    </row>
    <row r="206" spans="1:25" ht="12" customHeight="1">
      <c r="A206" s="48">
        <v>194</v>
      </c>
      <c r="B206" s="474" t="s">
        <v>47</v>
      </c>
      <c r="C206" s="323" t="s">
        <v>352</v>
      </c>
      <c r="D206" s="2473"/>
      <c r="E206" s="1746">
        <f t="shared" si="17"/>
        <v>2328715372</v>
      </c>
      <c r="F206" s="3090">
        <f t="shared" si="18"/>
        <v>138.49358211484582</v>
      </c>
      <c r="G206" s="2348"/>
      <c r="H206" s="1724"/>
      <c r="I206" s="1603">
        <v>90553501</v>
      </c>
      <c r="J206" s="1674">
        <v>111208219</v>
      </c>
      <c r="K206" s="1674">
        <v>20228633</v>
      </c>
      <c r="L206" s="1674">
        <v>336321699</v>
      </c>
      <c r="M206" s="1674">
        <v>582949945</v>
      </c>
      <c r="N206" s="1674">
        <v>487777428</v>
      </c>
      <c r="O206" s="1604">
        <v>402441466</v>
      </c>
      <c r="P206" s="1674">
        <v>41973963</v>
      </c>
      <c r="Q206" s="1674">
        <v>255260518</v>
      </c>
      <c r="R206" s="314" t="s">
        <v>353</v>
      </c>
      <c r="S206" s="315" t="s">
        <v>76</v>
      </c>
      <c r="T206" s="468">
        <v>1</v>
      </c>
      <c r="U206" s="1625">
        <v>36276</v>
      </c>
      <c r="V206" s="469" t="s">
        <v>138</v>
      </c>
      <c r="W206" s="469" t="s">
        <v>198</v>
      </c>
      <c r="X206" s="848">
        <f t="shared" ca="1" si="19"/>
        <v>13.736111111111111</v>
      </c>
      <c r="Y206" s="48">
        <v>194</v>
      </c>
    </row>
    <row r="207" spans="1:25" ht="12" customHeight="1">
      <c r="A207" s="48"/>
      <c r="B207" s="514" t="s">
        <v>47</v>
      </c>
      <c r="C207" s="349" t="s">
        <v>1261</v>
      </c>
      <c r="D207" s="499" t="s">
        <v>46</v>
      </c>
      <c r="E207" s="2299">
        <f t="shared" si="17"/>
        <v>2336467726</v>
      </c>
      <c r="F207" s="3090">
        <f t="shared" si="18"/>
        <v>138.57052079310338</v>
      </c>
      <c r="G207" s="2366">
        <f>43.09+180.447+0+192.796+181.082+81.489+25.212+205.319+189.268</f>
        <v>1098.703</v>
      </c>
      <c r="H207" s="1735"/>
      <c r="I207" s="1702">
        <v>87699274</v>
      </c>
      <c r="J207" s="1689">
        <v>106398059</v>
      </c>
      <c r="K207" s="1689">
        <v>20272852</v>
      </c>
      <c r="L207" s="1687">
        <v>349841470</v>
      </c>
      <c r="M207" s="1687">
        <v>592363258</v>
      </c>
      <c r="N207" s="1689">
        <v>491381520</v>
      </c>
      <c r="O207" s="1689">
        <v>380220211</v>
      </c>
      <c r="P207" s="1689">
        <v>44141947</v>
      </c>
      <c r="Q207" s="1689">
        <v>264149135</v>
      </c>
      <c r="R207" s="357" t="s">
        <v>889</v>
      </c>
      <c r="S207" s="358" t="s">
        <v>76</v>
      </c>
      <c r="T207" s="515">
        <v>1</v>
      </c>
      <c r="U207" s="1641">
        <v>40486</v>
      </c>
      <c r="V207" s="516" t="s">
        <v>702</v>
      </c>
      <c r="W207" s="516" t="s">
        <v>875</v>
      </c>
      <c r="X207" s="847">
        <f t="shared" ca="1" si="19"/>
        <v>2.213888888888889</v>
      </c>
      <c r="Y207" s="48"/>
    </row>
    <row r="208" spans="1:25" ht="12" customHeight="1">
      <c r="A208" s="48">
        <v>196</v>
      </c>
      <c r="B208" s="490" t="s">
        <v>47</v>
      </c>
      <c r="C208" s="319" t="s">
        <v>1098</v>
      </c>
      <c r="D208" s="464" t="s">
        <v>46</v>
      </c>
      <c r="E208" s="2291">
        <f t="shared" si="17"/>
        <v>2298233339</v>
      </c>
      <c r="F208" s="3090">
        <f t="shared" si="18"/>
        <v>138.70997470839413</v>
      </c>
      <c r="G208" s="2365"/>
      <c r="H208" s="1723"/>
      <c r="I208" s="1678">
        <v>98066920</v>
      </c>
      <c r="J208" s="1697">
        <v>122937482</v>
      </c>
      <c r="K208" s="1697">
        <v>19143091</v>
      </c>
      <c r="L208" s="1697">
        <v>337207965</v>
      </c>
      <c r="M208" s="1697">
        <v>594590928</v>
      </c>
      <c r="N208" s="1697">
        <v>489288623</v>
      </c>
      <c r="O208" s="1697">
        <v>349134139</v>
      </c>
      <c r="P208" s="1697">
        <v>44115094</v>
      </c>
      <c r="Q208" s="1697">
        <v>243749097</v>
      </c>
      <c r="R208" s="321" t="s">
        <v>578</v>
      </c>
      <c r="S208" s="322" t="s">
        <v>76</v>
      </c>
      <c r="T208" s="476">
        <v>1</v>
      </c>
      <c r="U208" s="1633">
        <v>39881</v>
      </c>
      <c r="V208" s="477" t="s">
        <v>375</v>
      </c>
      <c r="W208" s="477" t="s">
        <v>212</v>
      </c>
      <c r="X208" s="848">
        <f t="shared" ca="1" si="19"/>
        <v>3.8666666666666667</v>
      </c>
      <c r="Y208" s="48">
        <v>196</v>
      </c>
    </row>
    <row r="209" spans="1:25" ht="12" customHeight="1">
      <c r="A209" s="48"/>
      <c r="B209" s="2633" t="s">
        <v>47</v>
      </c>
      <c r="C209" s="2638" t="s">
        <v>383</v>
      </c>
      <c r="D209" s="2634"/>
      <c r="E209" s="1741">
        <f t="shared" si="17"/>
        <v>2349557514</v>
      </c>
      <c r="F209" s="3090">
        <f t="shared" si="18"/>
        <v>138.77667216299002</v>
      </c>
      <c r="G209" s="2364"/>
      <c r="H209" s="1734"/>
      <c r="I209" s="1681">
        <v>89506348</v>
      </c>
      <c r="J209" s="1604">
        <v>110726411</v>
      </c>
      <c r="K209" s="1604">
        <v>19961495</v>
      </c>
      <c r="L209" s="1604">
        <v>346035543</v>
      </c>
      <c r="M209" s="1604">
        <v>587418704</v>
      </c>
      <c r="N209" s="1604">
        <v>490568309</v>
      </c>
      <c r="O209" s="1604">
        <v>407512965</v>
      </c>
      <c r="P209" s="1604">
        <v>41401358</v>
      </c>
      <c r="Q209" s="1604">
        <v>256426381</v>
      </c>
      <c r="R209" s="331" t="s">
        <v>384</v>
      </c>
      <c r="S209" s="332" t="s">
        <v>76</v>
      </c>
      <c r="T209" s="488">
        <v>1</v>
      </c>
      <c r="U209" s="1636">
        <v>34834</v>
      </c>
      <c r="V209" s="489" t="s">
        <v>89</v>
      </c>
      <c r="W209" s="489" t="s">
        <v>351</v>
      </c>
      <c r="X209" s="847">
        <f t="shared" ca="1" si="19"/>
        <v>17.683333333333334</v>
      </c>
      <c r="Y209" s="48"/>
    </row>
    <row r="210" spans="1:25" ht="12" customHeight="1">
      <c r="A210" s="48">
        <v>198</v>
      </c>
      <c r="B210" s="505" t="s">
        <v>47</v>
      </c>
      <c r="C210" s="347" t="s">
        <v>347</v>
      </c>
      <c r="D210" s="499" t="s">
        <v>46</v>
      </c>
      <c r="E210" s="1741">
        <f t="shared" si="17"/>
        <v>2282351841</v>
      </c>
      <c r="F210" s="3090">
        <f t="shared" si="18"/>
        <v>138.80123165727514</v>
      </c>
      <c r="G210" s="2364"/>
      <c r="H210" s="1734"/>
      <c r="I210" s="1603">
        <v>102972253</v>
      </c>
      <c r="J210" s="1674">
        <v>122777093</v>
      </c>
      <c r="K210" s="1674">
        <v>20841501</v>
      </c>
      <c r="L210" s="1674">
        <v>333646422</v>
      </c>
      <c r="M210" s="1674">
        <v>593605126</v>
      </c>
      <c r="N210" s="1674">
        <v>489332334</v>
      </c>
      <c r="O210" s="1604">
        <v>351560742</v>
      </c>
      <c r="P210" s="1674">
        <v>43248341</v>
      </c>
      <c r="Q210" s="1674">
        <v>224368029</v>
      </c>
      <c r="R210" s="331" t="s">
        <v>348</v>
      </c>
      <c r="S210" s="332" t="s">
        <v>76</v>
      </c>
      <c r="T210" s="488">
        <v>1</v>
      </c>
      <c r="U210" s="1636">
        <v>37572</v>
      </c>
      <c r="V210" s="489" t="s">
        <v>138</v>
      </c>
      <c r="W210" s="489" t="s">
        <v>1209</v>
      </c>
      <c r="X210" s="848">
        <f t="shared" ca="1" si="19"/>
        <v>10.191666666666666</v>
      </c>
      <c r="Y210" s="48">
        <v>198</v>
      </c>
    </row>
    <row r="211" spans="1:25" ht="12" customHeight="1">
      <c r="A211" s="48"/>
      <c r="B211" s="470" t="s">
        <v>47</v>
      </c>
      <c r="C211" s="316" t="s">
        <v>915</v>
      </c>
      <c r="D211" s="471"/>
      <c r="E211" s="2298">
        <f t="shared" si="17"/>
        <v>2334900622</v>
      </c>
      <c r="F211" s="3090">
        <f t="shared" si="18"/>
        <v>138.83940835851715</v>
      </c>
      <c r="G211" s="2366">
        <f>120+180+0+290+480+68+947+516</f>
        <v>2601</v>
      </c>
      <c r="H211" s="1738"/>
      <c r="I211" s="1702">
        <v>97989548</v>
      </c>
      <c r="J211" s="1689">
        <v>117309103</v>
      </c>
      <c r="K211" s="1704">
        <v>20007429</v>
      </c>
      <c r="L211" s="1689">
        <v>302037213</v>
      </c>
      <c r="M211" s="1704">
        <v>662499328</v>
      </c>
      <c r="N211" s="1689">
        <v>492103406</v>
      </c>
      <c r="O211" s="1704">
        <v>354012394</v>
      </c>
      <c r="P211" s="1704">
        <v>44552834</v>
      </c>
      <c r="Q211" s="1704">
        <v>244389367</v>
      </c>
      <c r="R211" s="317" t="s">
        <v>637</v>
      </c>
      <c r="S211" s="318" t="s">
        <v>76</v>
      </c>
      <c r="T211" s="472">
        <v>1</v>
      </c>
      <c r="U211" s="1637">
        <v>40811</v>
      </c>
      <c r="V211" s="473" t="s">
        <v>84</v>
      </c>
      <c r="W211" s="473" t="s">
        <v>916</v>
      </c>
      <c r="X211" s="847">
        <f t="shared" ca="1" si="19"/>
        <v>1.3222222222222222</v>
      </c>
      <c r="Y211" s="48"/>
    </row>
    <row r="212" spans="1:25" ht="12" customHeight="1">
      <c r="A212" s="48">
        <v>200</v>
      </c>
      <c r="B212" s="497" t="s">
        <v>47</v>
      </c>
      <c r="C212" s="319" t="s">
        <v>905</v>
      </c>
      <c r="D212" s="475"/>
      <c r="E212" s="2291">
        <f t="shared" si="17"/>
        <v>2331576557</v>
      </c>
      <c r="F212" s="3090">
        <f t="shared" si="18"/>
        <v>139.24798488363655</v>
      </c>
      <c r="G212" s="2356">
        <f>30.5+92.6+0+112.66+80.13+45.59+19.76+110.84+89.21</f>
        <v>581.29000000000008</v>
      </c>
      <c r="H212" s="1744"/>
      <c r="I212" s="1678">
        <v>88920687</v>
      </c>
      <c r="J212" s="1697">
        <v>111646859</v>
      </c>
      <c r="K212" s="1697">
        <v>20331162</v>
      </c>
      <c r="L212" s="1697">
        <v>347265362</v>
      </c>
      <c r="M212" s="1697">
        <v>586234137</v>
      </c>
      <c r="N212" s="1697">
        <v>488704485</v>
      </c>
      <c r="O212" s="1697">
        <v>373361345</v>
      </c>
      <c r="P212" s="1697">
        <v>43118589</v>
      </c>
      <c r="Q212" s="1697">
        <v>271993931</v>
      </c>
      <c r="R212" s="321" t="s">
        <v>906</v>
      </c>
      <c r="S212" s="320" t="s">
        <v>76</v>
      </c>
      <c r="T212" s="476">
        <v>1</v>
      </c>
      <c r="U212" s="1633">
        <v>40817</v>
      </c>
      <c r="V212" s="477" t="s">
        <v>257</v>
      </c>
      <c r="W212" s="477" t="s">
        <v>907</v>
      </c>
      <c r="X212" s="848">
        <f t="shared" ca="1" si="19"/>
        <v>1.3055555555555556</v>
      </c>
      <c r="Y212" s="48">
        <v>200</v>
      </c>
    </row>
    <row r="213" spans="1:25" ht="12" customHeight="1">
      <c r="A213" s="48"/>
      <c r="B213" s="498" t="s">
        <v>47</v>
      </c>
      <c r="C213" s="347" t="s">
        <v>1017</v>
      </c>
      <c r="D213" s="484"/>
      <c r="E213" s="1745">
        <f t="shared" si="17"/>
        <v>2349239366</v>
      </c>
      <c r="F213" s="3090">
        <f t="shared" si="18"/>
        <v>139.98363313741314</v>
      </c>
      <c r="G213" s="2359"/>
      <c r="H213" s="1731"/>
      <c r="I213" s="1681">
        <v>89300062</v>
      </c>
      <c r="J213" s="1604">
        <v>116634777</v>
      </c>
      <c r="K213" s="1604">
        <v>20014191</v>
      </c>
      <c r="L213" s="1604">
        <v>350336199</v>
      </c>
      <c r="M213" s="1604">
        <v>589226602</v>
      </c>
      <c r="N213" s="1604">
        <v>485522143</v>
      </c>
      <c r="O213" s="1604">
        <v>392860115</v>
      </c>
      <c r="P213" s="1604">
        <v>42326144</v>
      </c>
      <c r="Q213" s="1604">
        <v>263019133</v>
      </c>
      <c r="R213" s="324" t="s">
        <v>358</v>
      </c>
      <c r="S213" s="325" t="s">
        <v>76</v>
      </c>
      <c r="T213" s="479">
        <v>1</v>
      </c>
      <c r="U213" s="1634">
        <v>39617</v>
      </c>
      <c r="V213" s="480" t="s">
        <v>129</v>
      </c>
      <c r="W213" s="480" t="s">
        <v>359</v>
      </c>
      <c r="X213" s="847">
        <f t="shared" ca="1" si="19"/>
        <v>4.5916666666666668</v>
      </c>
      <c r="Y213" s="48"/>
    </row>
    <row r="214" spans="1:25" ht="12" customHeight="1">
      <c r="A214" s="48">
        <v>202</v>
      </c>
      <c r="B214" s="505" t="s">
        <v>47</v>
      </c>
      <c r="C214" s="347" t="s">
        <v>368</v>
      </c>
      <c r="D214" s="2000"/>
      <c r="E214" s="1741">
        <f t="shared" si="17"/>
        <v>2303891923</v>
      </c>
      <c r="F214" s="3090">
        <f t="shared" si="18"/>
        <v>140.08194143871958</v>
      </c>
      <c r="G214" s="2364"/>
      <c r="H214" s="1734"/>
      <c r="I214" s="1776">
        <v>98560917</v>
      </c>
      <c r="J214" s="1674">
        <v>124593889</v>
      </c>
      <c r="K214" s="1674">
        <v>20016486</v>
      </c>
      <c r="L214" s="1674">
        <v>338484734</v>
      </c>
      <c r="M214" s="1674">
        <v>589852305</v>
      </c>
      <c r="N214" s="1674">
        <v>487908959</v>
      </c>
      <c r="O214" s="1604">
        <v>354494617</v>
      </c>
      <c r="P214" s="1674">
        <v>44566072</v>
      </c>
      <c r="Q214" s="1674">
        <v>245413944</v>
      </c>
      <c r="R214" s="331" t="s">
        <v>369</v>
      </c>
      <c r="S214" s="332" t="s">
        <v>76</v>
      </c>
      <c r="T214" s="488">
        <v>1</v>
      </c>
      <c r="U214" s="1636">
        <v>38075</v>
      </c>
      <c r="V214" s="489" t="s">
        <v>89</v>
      </c>
      <c r="W214" s="489" t="s">
        <v>370</v>
      </c>
      <c r="X214" s="847">
        <f t="shared" ca="1" si="19"/>
        <v>8.8111111111111118</v>
      </c>
      <c r="Y214" s="48">
        <v>202</v>
      </c>
    </row>
    <row r="215" spans="1:25" ht="12" customHeight="1">
      <c r="A215" s="48"/>
      <c r="B215" s="2028" t="s">
        <v>1820</v>
      </c>
      <c r="C215" s="2029" t="s">
        <v>1025</v>
      </c>
      <c r="D215" s="2005" t="s">
        <v>46</v>
      </c>
      <c r="E215" s="3063">
        <f t="shared" si="17"/>
        <v>2307061510</v>
      </c>
      <c r="F215" s="3090">
        <f t="shared" si="18"/>
        <v>140.14503947511398</v>
      </c>
      <c r="G215" s="2378">
        <f>38+92+0+151+147+32+86+178</f>
        <v>724</v>
      </c>
      <c r="H215" s="2061">
        <f>15+18+0+47+57+46+48+8+50</f>
        <v>289</v>
      </c>
      <c r="I215" s="1930">
        <v>99052496</v>
      </c>
      <c r="J215" s="1856">
        <v>124668515</v>
      </c>
      <c r="K215" s="1856">
        <v>20007743</v>
      </c>
      <c r="L215" s="1856">
        <v>338101826</v>
      </c>
      <c r="M215" s="1856">
        <v>593685733</v>
      </c>
      <c r="N215" s="1856">
        <v>488616264</v>
      </c>
      <c r="O215" s="1856">
        <v>354012758</v>
      </c>
      <c r="P215" s="1856">
        <v>44530651</v>
      </c>
      <c r="Q215" s="1856">
        <v>244385524</v>
      </c>
      <c r="R215" s="2021" t="s">
        <v>381</v>
      </c>
      <c r="S215" s="2022" t="s">
        <v>76</v>
      </c>
      <c r="T215" s="2023">
        <v>1</v>
      </c>
      <c r="U215" s="2024">
        <v>39524</v>
      </c>
      <c r="V215" s="2025" t="s">
        <v>138</v>
      </c>
      <c r="W215" s="2025" t="s">
        <v>382</v>
      </c>
      <c r="X215" s="2006">
        <f t="shared" ca="1" si="19"/>
        <v>4.8444444444444441</v>
      </c>
      <c r="Y215" s="48"/>
    </row>
    <row r="216" spans="1:25" ht="12" customHeight="1">
      <c r="A216" s="48">
        <v>204</v>
      </c>
      <c r="B216" s="2007" t="s">
        <v>1820</v>
      </c>
      <c r="C216" s="2008" t="s">
        <v>1026</v>
      </c>
      <c r="D216" s="2063"/>
      <c r="E216" s="2010">
        <f t="shared" si="17"/>
        <v>2307785671</v>
      </c>
      <c r="F216" s="3090">
        <f t="shared" si="18"/>
        <v>140.15749339120012</v>
      </c>
      <c r="G216" s="2371"/>
      <c r="H216" s="2011"/>
      <c r="I216" s="1849">
        <v>99250331</v>
      </c>
      <c r="J216" s="1857">
        <v>124368324</v>
      </c>
      <c r="K216" s="1857">
        <v>20045787</v>
      </c>
      <c r="L216" s="1857">
        <v>338174458</v>
      </c>
      <c r="M216" s="1857">
        <v>594566825</v>
      </c>
      <c r="N216" s="1857">
        <v>488681118</v>
      </c>
      <c r="O216" s="1850">
        <v>354067630</v>
      </c>
      <c r="P216" s="1857">
        <v>44521755</v>
      </c>
      <c r="Q216" s="1857">
        <v>244109443</v>
      </c>
      <c r="R216" s="2013" t="s">
        <v>377</v>
      </c>
      <c r="S216" s="2014" t="s">
        <v>76</v>
      </c>
      <c r="T216" s="2015">
        <v>1</v>
      </c>
      <c r="U216" s="2016">
        <v>38385</v>
      </c>
      <c r="V216" s="2017" t="s">
        <v>89</v>
      </c>
      <c r="W216" s="2017" t="s">
        <v>212</v>
      </c>
      <c r="X216" s="1997">
        <f t="shared" ca="1" si="19"/>
        <v>7.9694444444444441</v>
      </c>
      <c r="Y216" s="48">
        <v>204</v>
      </c>
    </row>
    <row r="217" spans="1:25" ht="12" customHeight="1">
      <c r="A217" s="48"/>
      <c r="B217" s="505" t="s">
        <v>47</v>
      </c>
      <c r="C217" s="347" t="s">
        <v>378</v>
      </c>
      <c r="D217" s="2000"/>
      <c r="E217" s="1741">
        <f t="shared" si="17"/>
        <v>2307256779</v>
      </c>
      <c r="F217" s="3090">
        <f t="shared" si="18"/>
        <v>140.16717540676231</v>
      </c>
      <c r="G217" s="2364"/>
      <c r="H217" s="1734"/>
      <c r="I217" s="1673">
        <v>99245220</v>
      </c>
      <c r="J217" s="1604">
        <v>124699168</v>
      </c>
      <c r="K217" s="1604">
        <v>20008394</v>
      </c>
      <c r="L217" s="1604">
        <v>338101588</v>
      </c>
      <c r="M217" s="1604">
        <v>593658751</v>
      </c>
      <c r="N217" s="1604">
        <v>488616338</v>
      </c>
      <c r="O217" s="1604">
        <v>354056112</v>
      </c>
      <c r="P217" s="1604">
        <v>44484142</v>
      </c>
      <c r="Q217" s="1604">
        <v>244387066</v>
      </c>
      <c r="R217" s="331" t="s">
        <v>379</v>
      </c>
      <c r="S217" s="332" t="s">
        <v>76</v>
      </c>
      <c r="T217" s="488">
        <v>1</v>
      </c>
      <c r="U217" s="1636">
        <v>35851</v>
      </c>
      <c r="V217" s="489" t="s">
        <v>82</v>
      </c>
      <c r="W217" s="489" t="s">
        <v>380</v>
      </c>
      <c r="X217" s="847">
        <f t="shared" ca="1" si="19"/>
        <v>14.905555555555555</v>
      </c>
      <c r="Y217" s="48"/>
    </row>
    <row r="218" spans="1:25" ht="12" customHeight="1">
      <c r="A218" s="48">
        <v>206</v>
      </c>
      <c r="B218" s="505" t="s">
        <v>47</v>
      </c>
      <c r="C218" s="347" t="s">
        <v>1247</v>
      </c>
      <c r="D218" s="1998" t="s">
        <v>46</v>
      </c>
      <c r="E218" s="1741">
        <f t="shared" si="17"/>
        <v>2307239880</v>
      </c>
      <c r="F218" s="3090">
        <f t="shared" si="18"/>
        <v>140.19033645969384</v>
      </c>
      <c r="G218" s="2360">
        <f>11+13+3+28+37+28+17+21+9+8+33</f>
        <v>208</v>
      </c>
      <c r="H218" s="1733">
        <f>3.3+4.4+0+12.5+15.1+6.5+2.2+13.1</f>
        <v>57.1</v>
      </c>
      <c r="I218" s="1673">
        <v>98971234</v>
      </c>
      <c r="J218" s="1604">
        <v>124877894</v>
      </c>
      <c r="K218" s="1604">
        <v>20015649</v>
      </c>
      <c r="L218" s="1604">
        <v>337931444</v>
      </c>
      <c r="M218" s="1604">
        <v>593810122</v>
      </c>
      <c r="N218" s="1604">
        <v>488639302</v>
      </c>
      <c r="O218" s="1604">
        <v>353920282</v>
      </c>
      <c r="P218" s="1604">
        <v>44588080</v>
      </c>
      <c r="Q218" s="1604">
        <v>244485873</v>
      </c>
      <c r="R218" s="331" t="s">
        <v>381</v>
      </c>
      <c r="S218" s="332" t="s">
        <v>76</v>
      </c>
      <c r="T218" s="1483">
        <v>8</v>
      </c>
      <c r="U218" s="1636">
        <v>39901</v>
      </c>
      <c r="V218" s="489" t="s">
        <v>89</v>
      </c>
      <c r="W218" s="489" t="s">
        <v>846</v>
      </c>
      <c r="X218" s="847">
        <f t="shared" ca="1" si="19"/>
        <v>3.8111111111111109</v>
      </c>
      <c r="Y218" s="48">
        <v>206</v>
      </c>
    </row>
    <row r="219" spans="1:25" ht="12" customHeight="1">
      <c r="A219" s="48"/>
      <c r="B219" s="2037" t="s">
        <v>47</v>
      </c>
      <c r="C219" s="2038" t="s">
        <v>1248</v>
      </c>
      <c r="D219" s="2005" t="s">
        <v>46</v>
      </c>
      <c r="E219" s="3064">
        <f t="shared" si="17"/>
        <v>2307239880</v>
      </c>
      <c r="F219" s="3090">
        <f t="shared" si="18"/>
        <v>140.19033645969384</v>
      </c>
      <c r="G219" s="2373">
        <f>11+13+0+30+42+33+23+8+35</f>
        <v>195</v>
      </c>
      <c r="H219" s="2039">
        <f>3.5+4.7+0+12.3+14.9+11.6+12.9+2.3+14.1</f>
        <v>76.3</v>
      </c>
      <c r="I219" s="1930">
        <v>98971234</v>
      </c>
      <c r="J219" s="1856">
        <v>124877894</v>
      </c>
      <c r="K219" s="1856">
        <v>20015649</v>
      </c>
      <c r="L219" s="1856">
        <v>337931444</v>
      </c>
      <c r="M219" s="1856">
        <v>593810122</v>
      </c>
      <c r="N219" s="1856">
        <v>488639302</v>
      </c>
      <c r="O219" s="1856">
        <v>353920282</v>
      </c>
      <c r="P219" s="1856">
        <v>44588080</v>
      </c>
      <c r="Q219" s="1856">
        <v>244485873</v>
      </c>
      <c r="R219" s="2040" t="s">
        <v>381</v>
      </c>
      <c r="S219" s="2041" t="s">
        <v>76</v>
      </c>
      <c r="T219" s="2042">
        <v>8</v>
      </c>
      <c r="U219" s="2043">
        <v>40888</v>
      </c>
      <c r="V219" s="2044" t="s">
        <v>89</v>
      </c>
      <c r="W219" s="2044" t="s">
        <v>846</v>
      </c>
      <c r="X219" s="2006">
        <f t="shared" ca="1" si="19"/>
        <v>1.1111111111111112</v>
      </c>
      <c r="Y219" s="48"/>
    </row>
    <row r="220" spans="1:25" ht="12" customHeight="1">
      <c r="A220" s="48">
        <v>208</v>
      </c>
      <c r="B220" s="2026" t="s">
        <v>47</v>
      </c>
      <c r="C220" s="2031" t="s">
        <v>1249</v>
      </c>
      <c r="D220" s="2027" t="s">
        <v>46</v>
      </c>
      <c r="E220" s="2058">
        <f t="shared" si="17"/>
        <v>2307207535</v>
      </c>
      <c r="F220" s="3090">
        <f t="shared" si="18"/>
        <v>140.19259774403719</v>
      </c>
      <c r="G220" s="2374">
        <f>11+14+0+30+37+29+22+8+36</f>
        <v>187</v>
      </c>
      <c r="H220" s="2045">
        <f>5.3+6.6+0+18.7+25.8+21.2+11.6+18.1+3+17.2</f>
        <v>127.49999999999999</v>
      </c>
      <c r="I220" s="1849">
        <v>98967927</v>
      </c>
      <c r="J220" s="1857">
        <v>124885916</v>
      </c>
      <c r="K220" s="1857">
        <v>20016473</v>
      </c>
      <c r="L220" s="1857">
        <v>337934874</v>
      </c>
      <c r="M220" s="1857">
        <v>593766509</v>
      </c>
      <c r="N220" s="1857">
        <v>488631277</v>
      </c>
      <c r="O220" s="1850">
        <v>353929880</v>
      </c>
      <c r="P220" s="1857">
        <v>44593389</v>
      </c>
      <c r="Q220" s="1857">
        <v>244481290</v>
      </c>
      <c r="R220" s="2032" t="s">
        <v>381</v>
      </c>
      <c r="S220" s="2033" t="s">
        <v>76</v>
      </c>
      <c r="T220" s="2046">
        <v>8</v>
      </c>
      <c r="U220" s="2035">
        <v>40240</v>
      </c>
      <c r="V220" s="2036" t="s">
        <v>435</v>
      </c>
      <c r="W220" s="2036" t="s">
        <v>846</v>
      </c>
      <c r="X220" s="1997">
        <f t="shared" ca="1" si="19"/>
        <v>2.8833333333333333</v>
      </c>
      <c r="Y220" s="48">
        <v>208</v>
      </c>
    </row>
    <row r="221" spans="1:25" ht="12" customHeight="1">
      <c r="A221" s="48"/>
      <c r="B221" s="483" t="s">
        <v>47</v>
      </c>
      <c r="C221" s="328" t="s">
        <v>932</v>
      </c>
      <c r="D221" s="1998" t="s">
        <v>46</v>
      </c>
      <c r="E221" s="1745">
        <f t="shared" si="17"/>
        <v>2292785725</v>
      </c>
      <c r="F221" s="3090">
        <f t="shared" si="18"/>
        <v>140.25102277356194</v>
      </c>
      <c r="G221" s="2501">
        <f>75+228+0+264+392+163+49+285+333</f>
        <v>1789</v>
      </c>
      <c r="H221" s="1724"/>
      <c r="I221" s="1776">
        <v>112736002</v>
      </c>
      <c r="J221" s="1604">
        <v>131825277</v>
      </c>
      <c r="K221" s="1674">
        <v>17955116</v>
      </c>
      <c r="L221" s="1674">
        <v>313714771</v>
      </c>
      <c r="M221" s="1674">
        <v>608815359</v>
      </c>
      <c r="N221" s="1674">
        <v>496524246</v>
      </c>
      <c r="O221" s="1604">
        <v>347931011</v>
      </c>
      <c r="P221" s="1604">
        <v>47215863</v>
      </c>
      <c r="Q221" s="1674">
        <v>216068080</v>
      </c>
      <c r="R221" s="324" t="s">
        <v>933</v>
      </c>
      <c r="S221" s="325" t="s">
        <v>76</v>
      </c>
      <c r="T221" s="479">
        <v>1</v>
      </c>
      <c r="U221" s="1634">
        <v>40977</v>
      </c>
      <c r="V221" s="480" t="s">
        <v>935</v>
      </c>
      <c r="W221" s="480" t="s">
        <v>934</v>
      </c>
      <c r="X221" s="847">
        <f t="shared" ca="1" si="19"/>
        <v>0.8666666666666667</v>
      </c>
      <c r="Y221" s="48"/>
    </row>
    <row r="222" spans="1:25" ht="12" customHeight="1">
      <c r="A222" s="48">
        <v>210</v>
      </c>
      <c r="B222" s="498" t="s">
        <v>47</v>
      </c>
      <c r="C222" s="328" t="s">
        <v>814</v>
      </c>
      <c r="D222" s="2002"/>
      <c r="E222" s="1745">
        <f t="shared" si="17"/>
        <v>2357105005</v>
      </c>
      <c r="F222" s="3090">
        <f t="shared" si="18"/>
        <v>140.25571435408909</v>
      </c>
      <c r="G222" s="2359"/>
      <c r="H222" s="1731"/>
      <c r="I222" s="1673">
        <v>89410284</v>
      </c>
      <c r="J222" s="1604">
        <v>116671487</v>
      </c>
      <c r="K222" s="1604">
        <v>20121751</v>
      </c>
      <c r="L222" s="1604">
        <v>352038847</v>
      </c>
      <c r="M222" s="1604">
        <v>594340988</v>
      </c>
      <c r="N222" s="1604">
        <v>489391896</v>
      </c>
      <c r="O222" s="1604">
        <v>389178207</v>
      </c>
      <c r="P222" s="1604">
        <v>42386573</v>
      </c>
      <c r="Q222" s="1604">
        <v>263564972</v>
      </c>
      <c r="R222" s="324" t="s">
        <v>358</v>
      </c>
      <c r="S222" s="325" t="s">
        <v>76</v>
      </c>
      <c r="T222" s="479">
        <v>1</v>
      </c>
      <c r="U222" s="1634">
        <v>39584</v>
      </c>
      <c r="V222" s="480" t="s">
        <v>129</v>
      </c>
      <c r="W222" s="480" t="s">
        <v>254</v>
      </c>
      <c r="X222" s="847">
        <f t="shared" ca="1" si="19"/>
        <v>4.6805555555555554</v>
      </c>
      <c r="Y222" s="48">
        <v>210</v>
      </c>
    </row>
    <row r="223" spans="1:25" ht="12" customHeight="1">
      <c r="A223" s="48"/>
      <c r="B223" s="2028" t="s">
        <v>1820</v>
      </c>
      <c r="C223" s="2437" t="s">
        <v>1267</v>
      </c>
      <c r="D223" s="2048"/>
      <c r="E223" s="3064">
        <f t="shared" si="17"/>
        <v>2335973370</v>
      </c>
      <c r="F223" s="3090">
        <f t="shared" si="18"/>
        <v>140.27753401843327</v>
      </c>
      <c r="G223" s="2373">
        <f>32.63+30.62+0+164.52+164.62+122.73+144.61+118.78+92</f>
        <v>870.51</v>
      </c>
      <c r="H223" s="2049"/>
      <c r="I223" s="1856">
        <v>86804925</v>
      </c>
      <c r="J223" s="1856">
        <v>124993854</v>
      </c>
      <c r="K223" s="1856">
        <v>21098304</v>
      </c>
      <c r="L223" s="1856">
        <v>344526816</v>
      </c>
      <c r="M223" s="1856">
        <v>611175419</v>
      </c>
      <c r="N223" s="1856">
        <v>494243780</v>
      </c>
      <c r="O223" s="1856">
        <v>365008774</v>
      </c>
      <c r="P223" s="1856">
        <v>44959664</v>
      </c>
      <c r="Q223" s="1856">
        <v>243161834</v>
      </c>
      <c r="R223" s="2040" t="s">
        <v>178</v>
      </c>
      <c r="S223" s="2041" t="s">
        <v>76</v>
      </c>
      <c r="T223" s="2050">
        <v>1</v>
      </c>
      <c r="U223" s="2051">
        <v>39448</v>
      </c>
      <c r="V223" s="2044" t="s">
        <v>129</v>
      </c>
      <c r="W223" s="2044" t="s">
        <v>202</v>
      </c>
      <c r="X223" s="2006">
        <f t="shared" ca="1" si="19"/>
        <v>5.0555555555555554</v>
      </c>
      <c r="Y223" s="48"/>
    </row>
    <row r="224" spans="1:25" ht="12" customHeight="1">
      <c r="A224" s="48">
        <v>212</v>
      </c>
      <c r="B224" s="2007" t="s">
        <v>1820</v>
      </c>
      <c r="C224" s="2060" t="s">
        <v>285</v>
      </c>
      <c r="D224" s="2009"/>
      <c r="E224" s="2010">
        <f t="shared" si="17"/>
        <v>2325565675</v>
      </c>
      <c r="F224" s="3090">
        <f t="shared" si="18"/>
        <v>140.52822530250035</v>
      </c>
      <c r="G224" s="2371"/>
      <c r="H224" s="2011"/>
      <c r="I224" s="1849">
        <v>94288353</v>
      </c>
      <c r="J224" s="1857">
        <v>118211550</v>
      </c>
      <c r="K224" s="1857">
        <v>18759622</v>
      </c>
      <c r="L224" s="1857">
        <v>341296831</v>
      </c>
      <c r="M224" s="1857">
        <v>586161889</v>
      </c>
      <c r="N224" s="1857">
        <v>484815060</v>
      </c>
      <c r="O224" s="1850">
        <v>395849455</v>
      </c>
      <c r="P224" s="1857">
        <v>49643968</v>
      </c>
      <c r="Q224" s="1857">
        <v>236538947</v>
      </c>
      <c r="R224" s="2013" t="s">
        <v>113</v>
      </c>
      <c r="S224" s="2014" t="s">
        <v>76</v>
      </c>
      <c r="T224" s="2015">
        <v>1</v>
      </c>
      <c r="U224" s="2016">
        <v>38985</v>
      </c>
      <c r="V224" s="2017" t="s">
        <v>82</v>
      </c>
      <c r="W224" s="2017" t="s">
        <v>284</v>
      </c>
      <c r="X224" s="1997">
        <f t="shared" ca="1" si="19"/>
        <v>6.322222222222222</v>
      </c>
      <c r="Y224" s="48">
        <v>212</v>
      </c>
    </row>
    <row r="225" spans="1:25" ht="12" customHeight="1">
      <c r="A225" s="48"/>
      <c r="B225" s="498" t="s">
        <v>47</v>
      </c>
      <c r="C225" s="328" t="s">
        <v>1105</v>
      </c>
      <c r="D225" s="1998"/>
      <c r="E225" s="1745">
        <f t="shared" si="17"/>
        <v>2357680717</v>
      </c>
      <c r="F225" s="3090">
        <f t="shared" si="18"/>
        <v>140.67760302819619</v>
      </c>
      <c r="G225" s="2359"/>
      <c r="H225" s="1743"/>
      <c r="I225" s="1673">
        <v>92535887</v>
      </c>
      <c r="J225" s="1604">
        <v>111560747</v>
      </c>
      <c r="K225" s="1604">
        <v>20734613</v>
      </c>
      <c r="L225" s="1604">
        <v>337951280</v>
      </c>
      <c r="M225" s="1604">
        <v>582770212</v>
      </c>
      <c r="N225" s="1604">
        <v>487746292</v>
      </c>
      <c r="O225" s="1604">
        <v>424366200</v>
      </c>
      <c r="P225" s="1604">
        <v>42629277</v>
      </c>
      <c r="Q225" s="1604">
        <v>257386209</v>
      </c>
      <c r="R225" s="324" t="s">
        <v>1091</v>
      </c>
      <c r="S225" s="346" t="s">
        <v>76</v>
      </c>
      <c r="T225" s="479">
        <v>1</v>
      </c>
      <c r="U225" s="1634">
        <v>36111</v>
      </c>
      <c r="V225" s="480" t="s">
        <v>356</v>
      </c>
      <c r="W225" s="480" t="s">
        <v>410</v>
      </c>
      <c r="X225" s="847">
        <f t="shared" ca="1" si="19"/>
        <v>14.191666666666666</v>
      </c>
      <c r="Y225" s="48"/>
    </row>
    <row r="226" spans="1:25" ht="12" customHeight="1">
      <c r="A226" s="48">
        <v>214</v>
      </c>
      <c r="B226" s="483" t="s">
        <v>47</v>
      </c>
      <c r="C226" s="313" t="s">
        <v>332</v>
      </c>
      <c r="D226" s="1998" t="s">
        <v>46</v>
      </c>
      <c r="E226" s="3062">
        <f t="shared" si="17"/>
        <v>2360447264</v>
      </c>
      <c r="F226" s="3090">
        <f t="shared" si="18"/>
        <v>141.05246574293949</v>
      </c>
      <c r="G226" s="2348"/>
      <c r="H226" s="1724"/>
      <c r="I226" s="1674">
        <v>88520612</v>
      </c>
      <c r="J226" s="1674">
        <v>117407689</v>
      </c>
      <c r="K226" s="1674">
        <v>19092212</v>
      </c>
      <c r="L226" s="1674">
        <v>357220687</v>
      </c>
      <c r="M226" s="1674">
        <v>583061343</v>
      </c>
      <c r="N226" s="1674">
        <v>485907980</v>
      </c>
      <c r="O226" s="1604">
        <v>389356487</v>
      </c>
      <c r="P226" s="1674">
        <v>44425656</v>
      </c>
      <c r="Q226" s="1674">
        <v>275454598</v>
      </c>
      <c r="R226" s="314" t="s">
        <v>127</v>
      </c>
      <c r="S226" s="315" t="s">
        <v>76</v>
      </c>
      <c r="T226" s="468">
        <v>1</v>
      </c>
      <c r="U226" s="1625">
        <v>38733</v>
      </c>
      <c r="V226" s="469" t="s">
        <v>82</v>
      </c>
      <c r="W226" s="469" t="s">
        <v>128</v>
      </c>
      <c r="X226" s="847">
        <f t="shared" ca="1" si="19"/>
        <v>7.0138888888888893</v>
      </c>
      <c r="Y226" s="48">
        <v>214</v>
      </c>
    </row>
    <row r="227" spans="1:25" ht="12" customHeight="1">
      <c r="A227" s="48"/>
      <c r="B227" s="2419" t="s">
        <v>1820</v>
      </c>
      <c r="C227" s="2437" t="s">
        <v>201</v>
      </c>
      <c r="D227" s="2048"/>
      <c r="E227" s="3064">
        <f t="shared" si="17"/>
        <v>2330652366</v>
      </c>
      <c r="F227" s="3090">
        <f t="shared" si="18"/>
        <v>140.98483960159621</v>
      </c>
      <c r="G227" s="2500"/>
      <c r="H227" s="2521"/>
      <c r="I227" s="1855">
        <v>86593783</v>
      </c>
      <c r="J227" s="1856">
        <v>133076772</v>
      </c>
      <c r="K227" s="1856">
        <v>21504030</v>
      </c>
      <c r="L227" s="1856">
        <v>338321819</v>
      </c>
      <c r="M227" s="1856">
        <v>608496736</v>
      </c>
      <c r="N227" s="1856">
        <v>495738549</v>
      </c>
      <c r="O227" s="1856">
        <v>363911429</v>
      </c>
      <c r="P227" s="1856">
        <v>44561793</v>
      </c>
      <c r="Q227" s="1856">
        <v>238447455</v>
      </c>
      <c r="R227" s="2040" t="s">
        <v>178</v>
      </c>
      <c r="S227" s="2041" t="s">
        <v>76</v>
      </c>
      <c r="T227" s="2050">
        <v>1</v>
      </c>
      <c r="U227" s="2051">
        <v>39391</v>
      </c>
      <c r="V227" s="2044" t="s">
        <v>129</v>
      </c>
      <c r="W227" s="2044" t="s">
        <v>202</v>
      </c>
      <c r="X227" s="2006">
        <f t="shared" ca="1" si="19"/>
        <v>5.2111111111111112</v>
      </c>
      <c r="Y227" s="48"/>
    </row>
    <row r="228" spans="1:25" ht="12" customHeight="1">
      <c r="A228" s="48">
        <v>216</v>
      </c>
      <c r="B228" s="1993" t="s">
        <v>47</v>
      </c>
      <c r="C228" s="2443" t="s">
        <v>269</v>
      </c>
      <c r="D228" s="2027" t="s">
        <v>46</v>
      </c>
      <c r="E228" s="2487">
        <f t="shared" si="17"/>
        <v>2347772399</v>
      </c>
      <c r="F228" s="3090">
        <f t="shared" si="18"/>
        <v>141.35408910246818</v>
      </c>
      <c r="G228" s="2347"/>
      <c r="H228" s="1994"/>
      <c r="I228" s="1849">
        <v>93552404</v>
      </c>
      <c r="J228" s="1857">
        <v>120143848</v>
      </c>
      <c r="K228" s="1857">
        <v>19270875</v>
      </c>
      <c r="L228" s="1857">
        <v>352548930</v>
      </c>
      <c r="M228" s="1857">
        <v>595333628</v>
      </c>
      <c r="N228" s="1857">
        <v>497901902</v>
      </c>
      <c r="O228" s="1850">
        <v>366717383</v>
      </c>
      <c r="P228" s="1857">
        <v>47588867</v>
      </c>
      <c r="Q228" s="1857">
        <v>254714562</v>
      </c>
      <c r="R228" s="2547" t="s">
        <v>270</v>
      </c>
      <c r="S228" s="2561" t="s">
        <v>76</v>
      </c>
      <c r="T228" s="1995">
        <v>1</v>
      </c>
      <c r="U228" s="2584">
        <v>39020</v>
      </c>
      <c r="V228" s="1996" t="s">
        <v>129</v>
      </c>
      <c r="W228" s="1996" t="s">
        <v>271</v>
      </c>
      <c r="X228" s="1997">
        <f t="shared" ca="1" si="19"/>
        <v>6.2249999999999996</v>
      </c>
      <c r="Y228" s="48">
        <v>216</v>
      </c>
    </row>
    <row r="229" spans="1:25" ht="12" customHeight="1">
      <c r="A229" s="48"/>
      <c r="B229" s="857" t="s">
        <v>47</v>
      </c>
      <c r="C229" s="339" t="s">
        <v>309</v>
      </c>
      <c r="D229" s="2472"/>
      <c r="E229" s="2296">
        <f t="shared" si="17"/>
        <v>2361424964</v>
      </c>
      <c r="F229" s="3090">
        <f t="shared" si="18"/>
        <v>141.46202219387698</v>
      </c>
      <c r="G229" s="2350"/>
      <c r="H229" s="1726"/>
      <c r="I229" s="1776">
        <v>89891420</v>
      </c>
      <c r="J229" s="1674">
        <v>113802861</v>
      </c>
      <c r="K229" s="1674">
        <v>22590148</v>
      </c>
      <c r="L229" s="1674">
        <v>351375395</v>
      </c>
      <c r="M229" s="1674">
        <v>590114682</v>
      </c>
      <c r="N229" s="1674">
        <v>490957280</v>
      </c>
      <c r="O229" s="1604">
        <v>397142067</v>
      </c>
      <c r="P229" s="1674">
        <v>41368123</v>
      </c>
      <c r="Q229" s="1674">
        <v>264182988</v>
      </c>
      <c r="R229" s="340" t="s">
        <v>115</v>
      </c>
      <c r="S229" s="341" t="s">
        <v>76</v>
      </c>
      <c r="T229" s="500">
        <v>1</v>
      </c>
      <c r="U229" s="1627">
        <v>39433</v>
      </c>
      <c r="V229" s="501" t="s">
        <v>116</v>
      </c>
      <c r="W229" s="501" t="s">
        <v>1200</v>
      </c>
      <c r="X229" s="847">
        <f t="shared" ca="1" si="19"/>
        <v>5.0944444444444441</v>
      </c>
      <c r="Y229" s="48"/>
    </row>
    <row r="230" spans="1:25" ht="12" customHeight="1">
      <c r="A230" s="48">
        <v>218</v>
      </c>
      <c r="B230" s="483" t="s">
        <v>47</v>
      </c>
      <c r="C230" s="313" t="s">
        <v>349</v>
      </c>
      <c r="D230" s="1998" t="s">
        <v>46</v>
      </c>
      <c r="E230" s="1746">
        <f t="shared" si="17"/>
        <v>2381472145</v>
      </c>
      <c r="F230" s="3090">
        <f t="shared" si="18"/>
        <v>141.59891455882865</v>
      </c>
      <c r="G230" s="2348"/>
      <c r="H230" s="1724"/>
      <c r="I230" s="1776">
        <v>94751637</v>
      </c>
      <c r="J230" s="1674">
        <v>118391903</v>
      </c>
      <c r="K230" s="1674">
        <v>19376032</v>
      </c>
      <c r="L230" s="1674">
        <v>339000669</v>
      </c>
      <c r="M230" s="1674">
        <v>600546394</v>
      </c>
      <c r="N230" s="1674">
        <v>496868856</v>
      </c>
      <c r="O230" s="1604">
        <v>415401524</v>
      </c>
      <c r="P230" s="1674">
        <v>43696731</v>
      </c>
      <c r="Q230" s="1674">
        <v>253438399</v>
      </c>
      <c r="R230" s="314" t="s">
        <v>350</v>
      </c>
      <c r="S230" s="315" t="s">
        <v>76</v>
      </c>
      <c r="T230" s="468">
        <v>1</v>
      </c>
      <c r="U230" s="1625">
        <v>38504</v>
      </c>
      <c r="V230" s="469" t="s">
        <v>138</v>
      </c>
      <c r="W230" s="469" t="s">
        <v>351</v>
      </c>
      <c r="X230" s="847">
        <f t="shared" ca="1" si="19"/>
        <v>7.6388888888888893</v>
      </c>
      <c r="Y230" s="48">
        <v>218</v>
      </c>
    </row>
    <row r="231" spans="1:25" ht="12" customHeight="1">
      <c r="A231" s="48"/>
      <c r="B231" s="2629" t="s">
        <v>47</v>
      </c>
      <c r="C231" s="2444" t="s">
        <v>354</v>
      </c>
      <c r="D231" s="2628" t="s">
        <v>46</v>
      </c>
      <c r="E231" s="3064">
        <f t="shared" si="17"/>
        <v>2301347130</v>
      </c>
      <c r="F231" s="3090">
        <f t="shared" si="18"/>
        <v>141.88381988881218</v>
      </c>
      <c r="G231" s="2379"/>
      <c r="H231" s="2049"/>
      <c r="I231" s="1855">
        <v>110020921</v>
      </c>
      <c r="J231" s="1856">
        <v>130268297</v>
      </c>
      <c r="K231" s="1856">
        <v>18179317</v>
      </c>
      <c r="L231" s="1856">
        <v>329906597</v>
      </c>
      <c r="M231" s="1856">
        <v>593307632</v>
      </c>
      <c r="N231" s="1856">
        <v>484069428</v>
      </c>
      <c r="O231" s="1856">
        <v>345297100</v>
      </c>
      <c r="P231" s="1856">
        <v>48101506</v>
      </c>
      <c r="Q231" s="1856">
        <v>242196332</v>
      </c>
      <c r="R231" s="2040" t="s">
        <v>355</v>
      </c>
      <c r="S231" s="2041" t="s">
        <v>185</v>
      </c>
      <c r="T231" s="2050">
        <v>1</v>
      </c>
      <c r="U231" s="2585">
        <v>33358</v>
      </c>
      <c r="V231" s="2044" t="s">
        <v>356</v>
      </c>
      <c r="W231" s="2044" t="s">
        <v>357</v>
      </c>
      <c r="X231" s="2006">
        <f t="shared" ca="1" si="19"/>
        <v>21.725000000000001</v>
      </c>
      <c r="Y231" s="48"/>
    </row>
    <row r="232" spans="1:25" ht="12" customHeight="1">
      <c r="A232" s="48">
        <v>220</v>
      </c>
      <c r="B232" s="2007" t="s">
        <v>1820</v>
      </c>
      <c r="C232" s="2008" t="s">
        <v>1262</v>
      </c>
      <c r="D232" s="2063"/>
      <c r="E232" s="2010">
        <f t="shared" si="17"/>
        <v>2324294690</v>
      </c>
      <c r="F232" s="3090">
        <f t="shared" si="18"/>
        <v>142.43098971295885</v>
      </c>
      <c r="G232" s="2371"/>
      <c r="H232" s="2011"/>
      <c r="I232" s="1849">
        <v>101275962</v>
      </c>
      <c r="J232" s="1857">
        <v>133687676</v>
      </c>
      <c r="K232" s="1857">
        <v>20027144</v>
      </c>
      <c r="L232" s="1857">
        <v>340866714</v>
      </c>
      <c r="M232" s="1857">
        <v>593663678</v>
      </c>
      <c r="N232" s="1857">
        <v>488653347</v>
      </c>
      <c r="O232" s="1850">
        <v>354881146</v>
      </c>
      <c r="P232" s="1857">
        <v>44921862</v>
      </c>
      <c r="Q232" s="1857">
        <v>246317161</v>
      </c>
      <c r="R232" s="2013" t="s">
        <v>323</v>
      </c>
      <c r="S232" s="2014" t="s">
        <v>76</v>
      </c>
      <c r="T232" s="2015">
        <v>1</v>
      </c>
      <c r="U232" s="2054">
        <v>38642</v>
      </c>
      <c r="V232" s="2017" t="s">
        <v>84</v>
      </c>
      <c r="W232" s="2017" t="s">
        <v>25</v>
      </c>
      <c r="X232" s="1997">
        <f t="shared" ca="1" si="19"/>
        <v>7.2611111111111111</v>
      </c>
      <c r="Y232" s="48">
        <v>220</v>
      </c>
    </row>
    <row r="233" spans="1:25" ht="12" customHeight="1">
      <c r="A233" s="48"/>
      <c r="B233" s="1344" t="s">
        <v>1820</v>
      </c>
      <c r="C233" s="348" t="s">
        <v>429</v>
      </c>
      <c r="D233" s="2001"/>
      <c r="E233" s="1741">
        <f t="shared" si="17"/>
        <v>2334318225</v>
      </c>
      <c r="F233" s="3090">
        <f t="shared" si="18"/>
        <v>142.60027598472638</v>
      </c>
      <c r="G233" s="2364"/>
      <c r="H233" s="1734"/>
      <c r="I233" s="1776">
        <v>100827987</v>
      </c>
      <c r="J233" s="1674">
        <v>130672637</v>
      </c>
      <c r="K233" s="1674">
        <v>19924752</v>
      </c>
      <c r="L233" s="1674">
        <v>342552699</v>
      </c>
      <c r="M233" s="1674">
        <v>597445694</v>
      </c>
      <c r="N233" s="1674">
        <v>491240975</v>
      </c>
      <c r="O233" s="1604">
        <v>356262847</v>
      </c>
      <c r="P233" s="1674">
        <v>45652966</v>
      </c>
      <c r="Q233" s="1674">
        <v>249737668</v>
      </c>
      <c r="R233" s="331" t="s">
        <v>430</v>
      </c>
      <c r="S233" s="332" t="s">
        <v>76</v>
      </c>
      <c r="T233" s="488">
        <v>1</v>
      </c>
      <c r="U233" s="1639">
        <v>37340</v>
      </c>
      <c r="V233" s="489" t="s">
        <v>89</v>
      </c>
      <c r="W233" s="489" t="s">
        <v>139</v>
      </c>
      <c r="X233" s="847">
        <f t="shared" ca="1" si="19"/>
        <v>10.822222222222223</v>
      </c>
      <c r="Y233" s="48"/>
    </row>
    <row r="234" spans="1:25" ht="12" customHeight="1">
      <c r="A234" s="48">
        <v>222</v>
      </c>
      <c r="B234" s="498" t="s">
        <v>47</v>
      </c>
      <c r="C234" s="894" t="s">
        <v>1128</v>
      </c>
      <c r="D234" s="1998" t="s">
        <v>46</v>
      </c>
      <c r="E234" s="1745">
        <f t="shared" si="17"/>
        <v>2311372887</v>
      </c>
      <c r="F234" s="3090">
        <f t="shared" si="18"/>
        <v>142.87921413786592</v>
      </c>
      <c r="G234" s="2359"/>
      <c r="H234" s="1731"/>
      <c r="I234" s="1604">
        <v>103898739</v>
      </c>
      <c r="J234" s="1604">
        <v>129146242</v>
      </c>
      <c r="K234" s="1604">
        <v>19337216</v>
      </c>
      <c r="L234" s="1674">
        <v>330832519</v>
      </c>
      <c r="M234" s="1604">
        <v>590607127</v>
      </c>
      <c r="N234" s="1604">
        <v>484425757</v>
      </c>
      <c r="O234" s="1604">
        <v>354450063</v>
      </c>
      <c r="P234" s="1604">
        <v>49494548</v>
      </c>
      <c r="Q234" s="1604">
        <v>249180676</v>
      </c>
      <c r="R234" s="324" t="s">
        <v>520</v>
      </c>
      <c r="S234" s="325" t="s">
        <v>185</v>
      </c>
      <c r="T234" s="479">
        <v>1</v>
      </c>
      <c r="U234" s="1634">
        <v>35940</v>
      </c>
      <c r="V234" s="512" t="s">
        <v>138</v>
      </c>
      <c r="W234" s="480" t="s">
        <v>161</v>
      </c>
      <c r="X234" s="847">
        <f t="shared" ca="1" si="19"/>
        <v>14.655555555555555</v>
      </c>
      <c r="Y234" s="48">
        <v>222</v>
      </c>
    </row>
    <row r="235" spans="1:25" ht="12" customHeight="1">
      <c r="A235" s="48"/>
      <c r="B235" s="2037" t="s">
        <v>47</v>
      </c>
      <c r="C235" s="2047" t="s">
        <v>1024</v>
      </c>
      <c r="D235" s="2048"/>
      <c r="E235" s="3064">
        <f t="shared" si="17"/>
        <v>2357974378</v>
      </c>
      <c r="F235" s="3090">
        <f t="shared" si="18"/>
        <v>143.36807723238763</v>
      </c>
      <c r="G235" s="2373">
        <f>460.95+1845+0+2318+1705+372+1358+3100</f>
        <v>11158.95</v>
      </c>
      <c r="H235" s="2049"/>
      <c r="I235" s="1930">
        <v>91976527</v>
      </c>
      <c r="J235" s="1914">
        <v>125183228</v>
      </c>
      <c r="K235" s="1914">
        <v>22282022</v>
      </c>
      <c r="L235" s="1914">
        <v>347573890</v>
      </c>
      <c r="M235" s="1914">
        <v>593830572</v>
      </c>
      <c r="N235" s="1914">
        <v>488045433</v>
      </c>
      <c r="O235" s="1856">
        <v>392180595</v>
      </c>
      <c r="P235" s="1914">
        <v>44723095</v>
      </c>
      <c r="Q235" s="1914">
        <v>252179016</v>
      </c>
      <c r="R235" s="2040" t="s">
        <v>874</v>
      </c>
      <c r="S235" s="2041" t="s">
        <v>76</v>
      </c>
      <c r="T235" s="2050">
        <v>1</v>
      </c>
      <c r="U235" s="2051">
        <v>40512</v>
      </c>
      <c r="V235" s="2052" t="s">
        <v>138</v>
      </c>
      <c r="W235" s="2044" t="s">
        <v>875</v>
      </c>
      <c r="X235" s="2006">
        <f t="shared" ca="1" si="19"/>
        <v>2.1416666666666666</v>
      </c>
      <c r="Y235" s="48"/>
    </row>
    <row r="236" spans="1:25" ht="12" customHeight="1">
      <c r="A236" s="48">
        <v>224</v>
      </c>
      <c r="B236" s="2053" t="s">
        <v>47</v>
      </c>
      <c r="C236" s="2008" t="s">
        <v>391</v>
      </c>
      <c r="D236" s="2027" t="s">
        <v>46</v>
      </c>
      <c r="E236" s="2010">
        <f t="shared" si="17"/>
        <v>2417554043</v>
      </c>
      <c r="F236" s="3090">
        <f t="shared" si="18"/>
        <v>143.9224090416501</v>
      </c>
      <c r="G236" s="2371"/>
      <c r="H236" s="2011"/>
      <c r="I236" s="1849">
        <v>90793629</v>
      </c>
      <c r="J236" s="1850">
        <v>121724441</v>
      </c>
      <c r="K236" s="1857">
        <v>19092212</v>
      </c>
      <c r="L236" s="1857">
        <v>362877902</v>
      </c>
      <c r="M236" s="1857">
        <v>606266486</v>
      </c>
      <c r="N236" s="1857">
        <v>502969317</v>
      </c>
      <c r="O236" s="1850">
        <v>392064549</v>
      </c>
      <c r="P236" s="1857">
        <v>45641300</v>
      </c>
      <c r="Q236" s="1857">
        <v>276124207</v>
      </c>
      <c r="R236" s="2013" t="s">
        <v>392</v>
      </c>
      <c r="S236" s="2014" t="s">
        <v>76</v>
      </c>
      <c r="T236" s="2015">
        <v>1</v>
      </c>
      <c r="U236" s="2054">
        <v>38672</v>
      </c>
      <c r="V236" s="2017" t="s">
        <v>82</v>
      </c>
      <c r="W236" s="2017" t="s">
        <v>362</v>
      </c>
      <c r="X236" s="1997">
        <f t="shared" ca="1" si="19"/>
        <v>7.1805555555555554</v>
      </c>
      <c r="Y236" s="48">
        <v>224</v>
      </c>
    </row>
    <row r="237" spans="1:25" ht="12" customHeight="1">
      <c r="A237" s="48"/>
      <c r="B237" s="1344" t="s">
        <v>1820</v>
      </c>
      <c r="C237" s="348" t="s">
        <v>393</v>
      </c>
      <c r="D237" s="2000"/>
      <c r="E237" s="1741">
        <f t="shared" si="17"/>
        <v>2318864521</v>
      </c>
      <c r="F237" s="3090">
        <f t="shared" si="18"/>
        <v>144.31239731012309</v>
      </c>
      <c r="G237" s="2364"/>
      <c r="H237" s="1734"/>
      <c r="I237" s="1604">
        <v>100833409</v>
      </c>
      <c r="J237" s="1604">
        <v>124668530</v>
      </c>
      <c r="K237" s="1604">
        <v>20008482</v>
      </c>
      <c r="L237" s="1604">
        <v>338101671</v>
      </c>
      <c r="M237" s="1604">
        <v>593259574</v>
      </c>
      <c r="N237" s="1604">
        <v>488616423</v>
      </c>
      <c r="O237" s="1604">
        <v>353509986</v>
      </c>
      <c r="P237" s="1604">
        <v>55524899</v>
      </c>
      <c r="Q237" s="1604">
        <v>244341547</v>
      </c>
      <c r="R237" s="331" t="s">
        <v>394</v>
      </c>
      <c r="S237" s="332" t="s">
        <v>76</v>
      </c>
      <c r="T237" s="488">
        <v>1</v>
      </c>
      <c r="U237" s="1636">
        <v>35876</v>
      </c>
      <c r="V237" s="489" t="s">
        <v>343</v>
      </c>
      <c r="W237" s="489" t="s">
        <v>212</v>
      </c>
      <c r="X237" s="847">
        <f t="shared" ca="1" si="19"/>
        <v>14.830555555555556</v>
      </c>
      <c r="Y237" s="48"/>
    </row>
    <row r="238" spans="1:25" ht="12" customHeight="1">
      <c r="A238" s="48">
        <v>226</v>
      </c>
      <c r="B238" s="2424" t="s">
        <v>47</v>
      </c>
      <c r="C238" s="347" t="s">
        <v>373</v>
      </c>
      <c r="D238" s="2000"/>
      <c r="E238" s="1741">
        <f t="shared" si="17"/>
        <v>2315475820</v>
      </c>
      <c r="F238" s="3090">
        <f t="shared" si="18"/>
        <v>145.29176192879248</v>
      </c>
      <c r="G238" s="2364"/>
      <c r="H238" s="1734"/>
      <c r="I238" s="1674">
        <v>113063470</v>
      </c>
      <c r="J238" s="1674">
        <v>132538731</v>
      </c>
      <c r="K238" s="1674">
        <v>17290707</v>
      </c>
      <c r="L238" s="1674">
        <v>315907212</v>
      </c>
      <c r="M238" s="1674">
        <v>595204788</v>
      </c>
      <c r="N238" s="1674">
        <v>483356583</v>
      </c>
      <c r="O238" s="1604">
        <v>354982445</v>
      </c>
      <c r="P238" s="1674">
        <v>56320558</v>
      </c>
      <c r="Q238" s="1674">
        <v>246811326</v>
      </c>
      <c r="R238" s="331" t="s">
        <v>374</v>
      </c>
      <c r="S238" s="332" t="s">
        <v>76</v>
      </c>
      <c r="T238" s="488">
        <v>1</v>
      </c>
      <c r="U238" s="1636">
        <v>37573</v>
      </c>
      <c r="V238" s="489" t="s">
        <v>375</v>
      </c>
      <c r="W238" s="489" t="s">
        <v>376</v>
      </c>
      <c r="X238" s="847">
        <f t="shared" ca="1" si="19"/>
        <v>10.188888888888888</v>
      </c>
      <c r="Y238" s="48">
        <v>226</v>
      </c>
    </row>
    <row r="239" spans="1:25" ht="12" customHeight="1">
      <c r="A239" s="48"/>
      <c r="B239" s="2028" t="s">
        <v>1820</v>
      </c>
      <c r="C239" s="2029" t="s">
        <v>341</v>
      </c>
      <c r="D239" s="2030"/>
      <c r="E239" s="3063">
        <f t="shared" si="17"/>
        <v>2328679462</v>
      </c>
      <c r="F239" s="3090">
        <f t="shared" si="18"/>
        <v>145.50570123501097</v>
      </c>
      <c r="G239" s="2372"/>
      <c r="H239" s="2020"/>
      <c r="I239" s="1930">
        <v>100961838</v>
      </c>
      <c r="J239" s="1914">
        <v>132287538</v>
      </c>
      <c r="K239" s="1914">
        <v>19325642</v>
      </c>
      <c r="L239" s="1914">
        <v>340087849</v>
      </c>
      <c r="M239" s="1914">
        <v>593250754</v>
      </c>
      <c r="N239" s="1914">
        <v>488553083</v>
      </c>
      <c r="O239" s="1856">
        <v>353496309</v>
      </c>
      <c r="P239" s="1914">
        <v>56374428</v>
      </c>
      <c r="Q239" s="1914">
        <v>244342021</v>
      </c>
      <c r="R239" s="2021" t="s">
        <v>342</v>
      </c>
      <c r="S239" s="2022" t="s">
        <v>76</v>
      </c>
      <c r="T239" s="2023">
        <v>1</v>
      </c>
      <c r="U239" s="2024">
        <v>36919</v>
      </c>
      <c r="V239" s="2025" t="s">
        <v>343</v>
      </c>
      <c r="W239" s="2025" t="s">
        <v>344</v>
      </c>
      <c r="X239" s="2006">
        <f t="shared" ca="1" si="19"/>
        <v>11.980555555555556</v>
      </c>
      <c r="Y239" s="48"/>
    </row>
    <row r="240" spans="1:25" ht="12" customHeight="1">
      <c r="A240" s="48">
        <v>228</v>
      </c>
      <c r="B240" s="2053" t="s">
        <v>47</v>
      </c>
      <c r="C240" s="2060" t="s">
        <v>338</v>
      </c>
      <c r="D240" s="2027" t="s">
        <v>46</v>
      </c>
      <c r="E240" s="2010">
        <f t="shared" si="17"/>
        <v>2350353093</v>
      </c>
      <c r="F240" s="3090">
        <f t="shared" si="18"/>
        <v>145.56813322849897</v>
      </c>
      <c r="G240" s="2371"/>
      <c r="H240" s="2011"/>
      <c r="I240" s="1849">
        <v>99962745</v>
      </c>
      <c r="J240" s="1850">
        <v>127354058</v>
      </c>
      <c r="K240" s="1857">
        <v>22204338</v>
      </c>
      <c r="L240" s="1857">
        <v>335791159</v>
      </c>
      <c r="M240" s="1857">
        <v>587865519</v>
      </c>
      <c r="N240" s="1857">
        <v>485890400</v>
      </c>
      <c r="O240" s="1850">
        <v>391552435</v>
      </c>
      <c r="P240" s="1857">
        <v>48644444</v>
      </c>
      <c r="Q240" s="1857">
        <v>251087995</v>
      </c>
      <c r="R240" s="2013" t="s">
        <v>339</v>
      </c>
      <c r="S240" s="2014" t="s">
        <v>76</v>
      </c>
      <c r="T240" s="2015">
        <v>1</v>
      </c>
      <c r="U240" s="2054">
        <v>39382</v>
      </c>
      <c r="V240" s="2017" t="s">
        <v>340</v>
      </c>
      <c r="W240" s="2017" t="s">
        <v>1058</v>
      </c>
      <c r="X240" s="1997">
        <f t="shared" ca="1" si="19"/>
        <v>5.2333333333333334</v>
      </c>
      <c r="Y240" s="48">
        <v>228</v>
      </c>
    </row>
    <row r="241" spans="1:25" ht="12" customHeight="1">
      <c r="A241" s="48"/>
      <c r="B241" s="505" t="s">
        <v>47</v>
      </c>
      <c r="C241" s="348" t="s">
        <v>395</v>
      </c>
      <c r="D241" s="1998" t="s">
        <v>46</v>
      </c>
      <c r="E241" s="1741">
        <f t="shared" si="17"/>
        <v>2389348683</v>
      </c>
      <c r="F241" s="3090">
        <f t="shared" si="18"/>
        <v>146.0272543348664</v>
      </c>
      <c r="G241" s="2364"/>
      <c r="H241" s="1734"/>
      <c r="I241" s="1673">
        <v>106308784</v>
      </c>
      <c r="J241" s="1604">
        <v>129368574</v>
      </c>
      <c r="K241" s="1604">
        <v>18756866</v>
      </c>
      <c r="L241" s="1604">
        <v>364007516</v>
      </c>
      <c r="M241" s="1604">
        <v>638666005</v>
      </c>
      <c r="N241" s="1604">
        <v>496693761</v>
      </c>
      <c r="O241" s="1604">
        <v>368901521</v>
      </c>
      <c r="P241" s="1604">
        <v>56520435</v>
      </c>
      <c r="Q241" s="1604">
        <v>210125221</v>
      </c>
      <c r="R241" s="331" t="s">
        <v>223</v>
      </c>
      <c r="S241" s="332" t="s">
        <v>76</v>
      </c>
      <c r="T241" s="488">
        <v>1</v>
      </c>
      <c r="U241" s="1636">
        <v>39208</v>
      </c>
      <c r="V241" s="489" t="s">
        <v>224</v>
      </c>
      <c r="W241" s="489" t="s">
        <v>225</v>
      </c>
      <c r="X241" s="847">
        <f t="shared" ca="1" si="19"/>
        <v>5.708333333333333</v>
      </c>
      <c r="Y241" s="48"/>
    </row>
    <row r="242" spans="1:25" ht="12" customHeight="1">
      <c r="A242" s="48">
        <v>230</v>
      </c>
      <c r="B242" s="505" t="s">
        <v>47</v>
      </c>
      <c r="C242" s="347" t="s">
        <v>385</v>
      </c>
      <c r="D242" s="1998" t="s">
        <v>46</v>
      </c>
      <c r="E242" s="3065">
        <f t="shared" si="17"/>
        <v>2366147954</v>
      </c>
      <c r="F242" s="3090">
        <f t="shared" si="18"/>
        <v>146.17655463477504</v>
      </c>
      <c r="G242" s="2364"/>
      <c r="H242" s="1734"/>
      <c r="I242" s="1673">
        <v>115142821</v>
      </c>
      <c r="J242" s="1674">
        <v>130968096</v>
      </c>
      <c r="K242" s="1604">
        <v>18718693</v>
      </c>
      <c r="L242" s="1604">
        <f>174487552*2</f>
        <v>348975104</v>
      </c>
      <c r="M242" s="1604">
        <v>614465598</v>
      </c>
      <c r="N242" s="1604">
        <v>500612752</v>
      </c>
      <c r="O242" s="1604">
        <v>349022585</v>
      </c>
      <c r="P242" s="1604">
        <v>52523642</v>
      </c>
      <c r="Q242" s="1674">
        <v>235718663</v>
      </c>
      <c r="R242" s="331" t="s">
        <v>386</v>
      </c>
      <c r="S242" s="332" t="s">
        <v>76</v>
      </c>
      <c r="T242" s="488">
        <v>1</v>
      </c>
      <c r="U242" s="1636">
        <v>36659</v>
      </c>
      <c r="V242" s="489" t="s">
        <v>89</v>
      </c>
      <c r="W242" s="489" t="s">
        <v>387</v>
      </c>
      <c r="X242" s="847">
        <f t="shared" ca="1" si="19"/>
        <v>12.688888888888888</v>
      </c>
      <c r="Y242" s="48">
        <v>230</v>
      </c>
    </row>
    <row r="243" spans="1:25" ht="12" customHeight="1">
      <c r="A243" s="48"/>
      <c r="B243" s="2018" t="s">
        <v>47</v>
      </c>
      <c r="C243" s="2019" t="s">
        <v>363</v>
      </c>
      <c r="D243" s="2055"/>
      <c r="E243" s="3063">
        <f t="shared" si="17"/>
        <v>2395068077</v>
      </c>
      <c r="F243" s="3090">
        <f t="shared" si="18"/>
        <v>146.37851740882161</v>
      </c>
      <c r="G243" s="2372"/>
      <c r="H243" s="2020"/>
      <c r="I243" s="1855">
        <v>96908629</v>
      </c>
      <c r="J243" s="1856">
        <v>123205230</v>
      </c>
      <c r="K243" s="1856">
        <v>18425165</v>
      </c>
      <c r="L243" s="1856">
        <v>361191488</v>
      </c>
      <c r="M243" s="1856">
        <v>592539694</v>
      </c>
      <c r="N243" s="1856">
        <v>490983136</v>
      </c>
      <c r="O243" s="1856">
        <v>371594131</v>
      </c>
      <c r="P243" s="1856">
        <v>52384907</v>
      </c>
      <c r="Q243" s="1856">
        <v>287835697</v>
      </c>
      <c r="R243" s="2021" t="s">
        <v>364</v>
      </c>
      <c r="S243" s="2022" t="s">
        <v>76</v>
      </c>
      <c r="T243" s="2023">
        <v>1</v>
      </c>
      <c r="U243" s="2024">
        <v>39617</v>
      </c>
      <c r="V243" s="2025" t="s">
        <v>82</v>
      </c>
      <c r="W243" s="2025" t="s">
        <v>365</v>
      </c>
      <c r="X243" s="2006">
        <f t="shared" ca="1" si="19"/>
        <v>4.5916666666666668</v>
      </c>
      <c r="Y243" s="48"/>
    </row>
    <row r="244" spans="1:25" ht="12" customHeight="1">
      <c r="A244" s="48">
        <v>232</v>
      </c>
      <c r="B244" s="2007" t="s">
        <v>1820</v>
      </c>
      <c r="C244" s="2008" t="s">
        <v>1177</v>
      </c>
      <c r="D244" s="2009"/>
      <c r="E244" s="2010">
        <f t="shared" si="17"/>
        <v>2332644089</v>
      </c>
      <c r="F244" s="3090">
        <f t="shared" si="18"/>
        <v>146.70472059518545</v>
      </c>
      <c r="G244" s="2505">
        <f>51+76+0+106+124+67+71+138+110</f>
        <v>743</v>
      </c>
      <c r="H244" s="2011"/>
      <c r="I244" s="1858">
        <v>101187506</v>
      </c>
      <c r="J244" s="1850">
        <v>133681069</v>
      </c>
      <c r="K244" s="1850">
        <v>20007967</v>
      </c>
      <c r="L244" s="1850">
        <v>340402679</v>
      </c>
      <c r="M244" s="1850">
        <v>593253551</v>
      </c>
      <c r="N244" s="1850">
        <v>488560067</v>
      </c>
      <c r="O244" s="1850">
        <v>353509327</v>
      </c>
      <c r="P244" s="1850">
        <v>57700074</v>
      </c>
      <c r="Q244" s="1850">
        <v>244341849</v>
      </c>
      <c r="R244" s="2013" t="s">
        <v>810</v>
      </c>
      <c r="S244" s="2014" t="s">
        <v>76</v>
      </c>
      <c r="T244" s="2015">
        <v>1</v>
      </c>
      <c r="U244" s="2016">
        <v>40901</v>
      </c>
      <c r="V244" s="2017" t="s">
        <v>89</v>
      </c>
      <c r="W244" s="2017" t="s">
        <v>1211</v>
      </c>
      <c r="X244" s="1997">
        <f t="shared" ca="1" si="19"/>
        <v>1.075</v>
      </c>
      <c r="Y244" s="48">
        <v>232</v>
      </c>
    </row>
    <row r="245" spans="1:25" ht="12" customHeight="1">
      <c r="A245" s="48"/>
      <c r="B245" s="498" t="s">
        <v>47</v>
      </c>
      <c r="C245" s="313" t="s">
        <v>397</v>
      </c>
      <c r="D245" s="2002"/>
      <c r="E245" s="1745">
        <f t="shared" si="17"/>
        <v>2415600459</v>
      </c>
      <c r="F245" s="3090">
        <f t="shared" si="18"/>
        <v>147.03119861745103</v>
      </c>
      <c r="G245" s="2359"/>
      <c r="H245" s="1731"/>
      <c r="I245" s="1673">
        <v>92921222</v>
      </c>
      <c r="J245" s="1604">
        <v>121119522</v>
      </c>
      <c r="K245" s="1604">
        <v>21591427</v>
      </c>
      <c r="L245" s="1604">
        <v>364315442</v>
      </c>
      <c r="M245" s="1604">
        <v>585896363</v>
      </c>
      <c r="N245" s="1604">
        <v>489921518</v>
      </c>
      <c r="O245" s="1604">
        <v>404632368</v>
      </c>
      <c r="P245" s="1604">
        <v>46880770</v>
      </c>
      <c r="Q245" s="1604">
        <v>288321827</v>
      </c>
      <c r="R245" s="331" t="s">
        <v>398</v>
      </c>
      <c r="S245" s="332" t="s">
        <v>76</v>
      </c>
      <c r="T245" s="488">
        <v>1</v>
      </c>
      <c r="U245" s="1634">
        <v>39826</v>
      </c>
      <c r="V245" s="489" t="s">
        <v>84</v>
      </c>
      <c r="W245" s="489" t="s">
        <v>399</v>
      </c>
      <c r="X245" s="847">
        <f t="shared" ca="1" si="19"/>
        <v>4.0222222222222221</v>
      </c>
      <c r="Y245" s="48"/>
    </row>
    <row r="246" spans="1:25" ht="12" customHeight="1">
      <c r="A246" s="48">
        <v>234</v>
      </c>
      <c r="B246" s="505" t="s">
        <v>47</v>
      </c>
      <c r="C246" s="892" t="s">
        <v>310</v>
      </c>
      <c r="D246" s="2000"/>
      <c r="E246" s="1741">
        <f t="shared" si="17"/>
        <v>2350788507</v>
      </c>
      <c r="F246" s="3090">
        <f t="shared" si="18"/>
        <v>147.51200829956238</v>
      </c>
      <c r="G246" s="2364"/>
      <c r="H246" s="1734"/>
      <c r="I246" s="1776">
        <v>118130320</v>
      </c>
      <c r="J246" s="1674">
        <v>134090583</v>
      </c>
      <c r="K246" s="1674">
        <v>18032239</v>
      </c>
      <c r="L246" s="1674">
        <v>344909602</v>
      </c>
      <c r="M246" s="1674">
        <v>604883211</v>
      </c>
      <c r="N246" s="1674">
        <v>492148771</v>
      </c>
      <c r="O246" s="1604">
        <v>307756447</v>
      </c>
      <c r="P246" s="1674">
        <v>52983378</v>
      </c>
      <c r="Q246" s="1674">
        <v>277853956</v>
      </c>
      <c r="R246" s="331" t="s">
        <v>311</v>
      </c>
      <c r="S246" s="332" t="s">
        <v>185</v>
      </c>
      <c r="T246" s="488">
        <v>1</v>
      </c>
      <c r="U246" s="1636">
        <v>36543</v>
      </c>
      <c r="V246" s="489" t="s">
        <v>312</v>
      </c>
      <c r="W246" s="489" t="s">
        <v>313</v>
      </c>
      <c r="X246" s="847">
        <f t="shared" ca="1" si="19"/>
        <v>13.008333333333333</v>
      </c>
      <c r="Y246" s="48">
        <v>234</v>
      </c>
    </row>
    <row r="247" spans="1:25" ht="12" customHeight="1">
      <c r="A247" s="48"/>
      <c r="B247" s="2028" t="s">
        <v>1820</v>
      </c>
      <c r="C247" s="2019" t="s">
        <v>413</v>
      </c>
      <c r="D247" s="2030"/>
      <c r="E247" s="3063">
        <f t="shared" si="17"/>
        <v>2443757321</v>
      </c>
      <c r="F247" s="3090">
        <f t="shared" si="18"/>
        <v>147.52140580064747</v>
      </c>
      <c r="G247" s="2376"/>
      <c r="H247" s="2056"/>
      <c r="I247" s="1914">
        <v>92318561</v>
      </c>
      <c r="J247" s="1914">
        <v>114984931</v>
      </c>
      <c r="K247" s="1914">
        <v>21509735</v>
      </c>
      <c r="L247" s="1914">
        <v>363810029</v>
      </c>
      <c r="M247" s="1914">
        <v>588684739</v>
      </c>
      <c r="N247" s="1914">
        <v>488608806</v>
      </c>
      <c r="O247" s="1856">
        <v>435273450</v>
      </c>
      <c r="P247" s="1914">
        <v>46774447</v>
      </c>
      <c r="Q247" s="1914">
        <v>291792623</v>
      </c>
      <c r="R247" s="2021" t="s">
        <v>197</v>
      </c>
      <c r="S247" s="2022" t="s">
        <v>76</v>
      </c>
      <c r="T247" s="2023">
        <v>1</v>
      </c>
      <c r="U247" s="2024">
        <v>36516</v>
      </c>
      <c r="V247" s="2025" t="s">
        <v>84</v>
      </c>
      <c r="W247" s="2025" t="s">
        <v>198</v>
      </c>
      <c r="X247" s="2006">
        <f t="shared" ca="1" si="19"/>
        <v>13.080555555555556</v>
      </c>
      <c r="Y247" s="48"/>
    </row>
    <row r="248" spans="1:25" ht="12" customHeight="1">
      <c r="A248" s="48">
        <v>236</v>
      </c>
      <c r="B248" s="2007" t="s">
        <v>1820</v>
      </c>
      <c r="C248" s="2062" t="s">
        <v>306</v>
      </c>
      <c r="D248" s="2063"/>
      <c r="E248" s="2010">
        <f t="shared" si="17"/>
        <v>2375211130</v>
      </c>
      <c r="F248" s="3090">
        <f t="shared" si="18"/>
        <v>147.82645280353489</v>
      </c>
      <c r="G248" s="2371"/>
      <c r="H248" s="2011"/>
      <c r="I248" s="1849">
        <v>100680775</v>
      </c>
      <c r="J248" s="1857">
        <v>123846884</v>
      </c>
      <c r="K248" s="1857">
        <v>20775628</v>
      </c>
      <c r="L248" s="1857">
        <v>379081389</v>
      </c>
      <c r="M248" s="1857">
        <v>592456838</v>
      </c>
      <c r="N248" s="1857">
        <v>488623941</v>
      </c>
      <c r="O248" s="1850">
        <v>311642188</v>
      </c>
      <c r="P248" s="1857">
        <v>51969434</v>
      </c>
      <c r="Q248" s="1857">
        <v>306134053</v>
      </c>
      <c r="R248" s="2013" t="s">
        <v>168</v>
      </c>
      <c r="S248" s="2014" t="s">
        <v>185</v>
      </c>
      <c r="T248" s="2015">
        <v>1</v>
      </c>
      <c r="U248" s="2016">
        <v>35209</v>
      </c>
      <c r="V248" s="2017" t="s">
        <v>82</v>
      </c>
      <c r="W248" s="2017" t="s">
        <v>198</v>
      </c>
      <c r="X248" s="1997">
        <f t="shared" ca="1" si="19"/>
        <v>16.658333333333335</v>
      </c>
      <c r="Y248" s="48">
        <v>236</v>
      </c>
    </row>
    <row r="249" spans="1:25" ht="12" customHeight="1">
      <c r="A249" s="48"/>
      <c r="B249" s="1344" t="s">
        <v>1820</v>
      </c>
      <c r="C249" s="892" t="s">
        <v>305</v>
      </c>
      <c r="D249" s="2001"/>
      <c r="E249" s="1741">
        <f t="shared" si="17"/>
        <v>2375202577</v>
      </c>
      <c r="F249" s="3090">
        <f t="shared" si="18"/>
        <v>147.82824087754048</v>
      </c>
      <c r="G249" s="2364"/>
      <c r="H249" s="1734"/>
      <c r="I249" s="1674">
        <v>100681725</v>
      </c>
      <c r="J249" s="1674">
        <v>123846884</v>
      </c>
      <c r="K249" s="1674">
        <v>20775628</v>
      </c>
      <c r="L249" s="1674">
        <v>379067633</v>
      </c>
      <c r="M249" s="1674">
        <v>592454379</v>
      </c>
      <c r="N249" s="1674">
        <v>488624239</v>
      </c>
      <c r="O249" s="1604">
        <v>311642188</v>
      </c>
      <c r="P249" s="1674">
        <v>51975848</v>
      </c>
      <c r="Q249" s="1674">
        <v>306134053</v>
      </c>
      <c r="R249" s="331" t="s">
        <v>168</v>
      </c>
      <c r="S249" s="332" t="s">
        <v>185</v>
      </c>
      <c r="T249" s="488">
        <v>1</v>
      </c>
      <c r="U249" s="1636">
        <v>35209</v>
      </c>
      <c r="V249" s="489" t="s">
        <v>82</v>
      </c>
      <c r="W249" s="489" t="s">
        <v>198</v>
      </c>
      <c r="X249" s="847">
        <f t="shared" ca="1" si="19"/>
        <v>16.658333333333335</v>
      </c>
      <c r="Y249" s="48"/>
    </row>
    <row r="250" spans="1:25" ht="12" customHeight="1">
      <c r="A250" s="48">
        <v>238</v>
      </c>
      <c r="B250" s="1344" t="s">
        <v>1820</v>
      </c>
      <c r="C250" s="2004" t="s">
        <v>411</v>
      </c>
      <c r="D250" s="2000"/>
      <c r="E250" s="1741">
        <f t="shared" ref="E250:E313" si="20">SUM(I250:Q250)</f>
        <v>2443826141</v>
      </c>
      <c r="F250" s="3090">
        <f t="shared" ref="F250:F313" si="21">SUM(I250/I$11,J250/J$11,K250/K$11,L250/L$11,M250/M$11,N250/N$11,O250/O$11,P250/P$11,Q250/Q$11)/9*100</f>
        <v>147.86576696226501</v>
      </c>
      <c r="G250" s="2375"/>
      <c r="H250" s="2003"/>
      <c r="I250" s="1604">
        <v>92376704</v>
      </c>
      <c r="J250" s="1604">
        <v>113267053</v>
      </c>
      <c r="K250" s="1604">
        <v>21510312</v>
      </c>
      <c r="L250" s="1604">
        <v>363814953</v>
      </c>
      <c r="M250" s="1604">
        <v>588684449</v>
      </c>
      <c r="N250" s="1604">
        <v>488608422</v>
      </c>
      <c r="O250" s="1604">
        <v>435272370</v>
      </c>
      <c r="P250" s="1604">
        <v>48497803</v>
      </c>
      <c r="Q250" s="1604">
        <v>291794075</v>
      </c>
      <c r="R250" s="331" t="s">
        <v>197</v>
      </c>
      <c r="S250" s="332" t="s">
        <v>185</v>
      </c>
      <c r="T250" s="488">
        <v>1</v>
      </c>
      <c r="U250" s="1636">
        <v>35977</v>
      </c>
      <c r="V250" s="489" t="s">
        <v>84</v>
      </c>
      <c r="W250" s="489" t="s">
        <v>410</v>
      </c>
      <c r="X250" s="847">
        <f t="shared" ca="1" si="19"/>
        <v>14.555555555555555</v>
      </c>
      <c r="Y250" s="48">
        <v>238</v>
      </c>
    </row>
    <row r="251" spans="1:25" ht="12" customHeight="1">
      <c r="A251" s="48"/>
      <c r="B251" s="2028" t="s">
        <v>1820</v>
      </c>
      <c r="C251" s="2439" t="s">
        <v>405</v>
      </c>
      <c r="D251" s="2055"/>
      <c r="E251" s="3063">
        <f t="shared" si="20"/>
        <v>2380045410</v>
      </c>
      <c r="F251" s="3090">
        <f t="shared" si="21"/>
        <v>148.17820071781051</v>
      </c>
      <c r="G251" s="2372"/>
      <c r="H251" s="2020"/>
      <c r="I251" s="1855">
        <v>110597396</v>
      </c>
      <c r="J251" s="1914">
        <v>135296235</v>
      </c>
      <c r="K251" s="1856">
        <v>17989901</v>
      </c>
      <c r="L251" s="1856">
        <v>350127372</v>
      </c>
      <c r="M251" s="1856">
        <v>609160738</v>
      </c>
      <c r="N251" s="1856">
        <v>492148775</v>
      </c>
      <c r="O251" s="1856">
        <v>354961760</v>
      </c>
      <c r="P251" s="1856">
        <v>55851851</v>
      </c>
      <c r="Q251" s="1914">
        <v>253911382</v>
      </c>
      <c r="R251" s="2021" t="s">
        <v>406</v>
      </c>
      <c r="S251" s="2022" t="s">
        <v>76</v>
      </c>
      <c r="T251" s="2023">
        <v>1</v>
      </c>
      <c r="U251" s="2024">
        <v>35553</v>
      </c>
      <c r="V251" s="2025" t="s">
        <v>407</v>
      </c>
      <c r="W251" s="2025" t="s">
        <v>1213</v>
      </c>
      <c r="X251" s="2006">
        <f t="shared" ref="X251:X314" ca="1" si="22">YEARFRAC(U251,X$6)</f>
        <v>15.716666666666667</v>
      </c>
      <c r="Y251" s="48"/>
    </row>
    <row r="252" spans="1:25" ht="12" customHeight="1">
      <c r="A252" s="48">
        <v>240</v>
      </c>
      <c r="B252" s="2053" t="s">
        <v>47</v>
      </c>
      <c r="C252" s="2062" t="s">
        <v>1093</v>
      </c>
      <c r="D252" s="2027" t="s">
        <v>46</v>
      </c>
      <c r="E252" s="2010">
        <f t="shared" si="20"/>
        <v>2409923888</v>
      </c>
      <c r="F252" s="3090">
        <f t="shared" si="21"/>
        <v>148.85568599969571</v>
      </c>
      <c r="G252" s="2371"/>
      <c r="H252" s="2011"/>
      <c r="I252" s="1850">
        <v>101019505</v>
      </c>
      <c r="J252" s="1850">
        <v>132339117</v>
      </c>
      <c r="K252" s="1850">
        <v>17988550</v>
      </c>
      <c r="L252" s="1850">
        <v>341906019</v>
      </c>
      <c r="M252" s="1850">
        <v>596873402</v>
      </c>
      <c r="N252" s="1850">
        <v>490351729</v>
      </c>
      <c r="O252" s="1850">
        <v>398305005</v>
      </c>
      <c r="P252" s="1850">
        <v>55267279</v>
      </c>
      <c r="Q252" s="1857">
        <v>275873282</v>
      </c>
      <c r="R252" s="2013" t="s">
        <v>414</v>
      </c>
      <c r="S252" s="2014" t="s">
        <v>185</v>
      </c>
      <c r="T252" s="2015">
        <v>1</v>
      </c>
      <c r="U252" s="2054">
        <v>34711</v>
      </c>
      <c r="V252" s="2017" t="s">
        <v>80</v>
      </c>
      <c r="W252" s="2017" t="s">
        <v>1146</v>
      </c>
      <c r="X252" s="1997">
        <f t="shared" ca="1" si="22"/>
        <v>18.024999999999999</v>
      </c>
      <c r="Y252" s="48">
        <v>240</v>
      </c>
    </row>
    <row r="253" spans="1:25" ht="12" customHeight="1">
      <c r="A253" s="48"/>
      <c r="B253" s="498" t="s">
        <v>47</v>
      </c>
      <c r="C253" s="894" t="s">
        <v>1134</v>
      </c>
      <c r="D253" s="1999"/>
      <c r="E253" s="1745">
        <f t="shared" si="20"/>
        <v>2421752553</v>
      </c>
      <c r="F253" s="3090">
        <f t="shared" si="21"/>
        <v>149.25064359671759</v>
      </c>
      <c r="G253" s="2359"/>
      <c r="H253" s="1731"/>
      <c r="I253" s="1776">
        <v>102764286</v>
      </c>
      <c r="J253" s="1674">
        <v>134090584</v>
      </c>
      <c r="K253" s="1674">
        <v>17988550</v>
      </c>
      <c r="L253" s="1674">
        <v>342905475</v>
      </c>
      <c r="M253" s="1674">
        <v>596889737</v>
      </c>
      <c r="N253" s="1674">
        <v>490886780</v>
      </c>
      <c r="O253" s="1604">
        <v>402267633</v>
      </c>
      <c r="P253" s="1674">
        <v>53043904</v>
      </c>
      <c r="Q253" s="1674">
        <v>280915604</v>
      </c>
      <c r="R253" s="324" t="s">
        <v>414</v>
      </c>
      <c r="S253" s="325" t="s">
        <v>185</v>
      </c>
      <c r="T253" s="479">
        <v>1</v>
      </c>
      <c r="U253" s="1634">
        <v>36270</v>
      </c>
      <c r="V253" s="480" t="s">
        <v>312</v>
      </c>
      <c r="W253" s="480" t="s">
        <v>1146</v>
      </c>
      <c r="X253" s="847">
        <f t="shared" ca="1" si="22"/>
        <v>13.752777777777778</v>
      </c>
      <c r="Y253" s="48"/>
    </row>
    <row r="254" spans="1:25" ht="12" customHeight="1">
      <c r="A254" s="48">
        <v>242</v>
      </c>
      <c r="B254" s="498" t="s">
        <v>47</v>
      </c>
      <c r="C254" s="328" t="s">
        <v>396</v>
      </c>
      <c r="D254" s="1998" t="s">
        <v>46</v>
      </c>
      <c r="E254" s="1745">
        <f t="shared" si="20"/>
        <v>2460540523</v>
      </c>
      <c r="F254" s="3090">
        <f t="shared" si="21"/>
        <v>149.19239297991558</v>
      </c>
      <c r="G254" s="2359"/>
      <c r="H254" s="1731"/>
      <c r="I254" s="1673">
        <v>93145549</v>
      </c>
      <c r="J254" s="1604">
        <v>109625008</v>
      </c>
      <c r="K254" s="1604">
        <v>23048585</v>
      </c>
      <c r="L254" s="1604">
        <v>368273238</v>
      </c>
      <c r="M254" s="1604">
        <v>587074180</v>
      </c>
      <c r="N254" s="1604">
        <v>489916795</v>
      </c>
      <c r="O254" s="1604">
        <v>441775430</v>
      </c>
      <c r="P254" s="1604">
        <v>47566239</v>
      </c>
      <c r="Q254" s="1604">
        <v>300115499</v>
      </c>
      <c r="R254" s="324" t="s">
        <v>240</v>
      </c>
      <c r="S254" s="325" t="s">
        <v>76</v>
      </c>
      <c r="T254" s="479">
        <v>1</v>
      </c>
      <c r="U254" s="1634">
        <v>39540</v>
      </c>
      <c r="V254" s="480" t="s">
        <v>82</v>
      </c>
      <c r="W254" s="480" t="s">
        <v>128</v>
      </c>
      <c r="X254" s="847">
        <f t="shared" ca="1" si="22"/>
        <v>4.802777777777778</v>
      </c>
      <c r="Y254" s="48">
        <v>242</v>
      </c>
    </row>
    <row r="255" spans="1:25" ht="12" customHeight="1">
      <c r="A255" s="48"/>
      <c r="B255" s="2037" t="s">
        <v>47</v>
      </c>
      <c r="C255" s="2445" t="s">
        <v>317</v>
      </c>
      <c r="D255" s="2048"/>
      <c r="E255" s="3064">
        <f t="shared" si="20"/>
        <v>2410039574</v>
      </c>
      <c r="F255" s="3090">
        <f t="shared" si="21"/>
        <v>149.27192110993457</v>
      </c>
      <c r="G255" s="2379"/>
      <c r="H255" s="2049"/>
      <c r="I255" s="1930">
        <v>99891595</v>
      </c>
      <c r="J255" s="1914">
        <v>128641104</v>
      </c>
      <c r="K255" s="1914">
        <v>21444835</v>
      </c>
      <c r="L255" s="1914">
        <v>353851100</v>
      </c>
      <c r="M255" s="1914">
        <v>593412205</v>
      </c>
      <c r="N255" s="1914">
        <v>487195849</v>
      </c>
      <c r="O255" s="1856">
        <v>390370758</v>
      </c>
      <c r="P255" s="1914">
        <v>50356677</v>
      </c>
      <c r="Q255" s="1914">
        <v>284875451</v>
      </c>
      <c r="R255" s="2040" t="s">
        <v>318</v>
      </c>
      <c r="S255" s="2041" t="s">
        <v>76</v>
      </c>
      <c r="T255" s="2050">
        <v>1</v>
      </c>
      <c r="U255" s="2051">
        <v>39719</v>
      </c>
      <c r="V255" s="2044" t="s">
        <v>257</v>
      </c>
      <c r="W255" s="2044" t="s">
        <v>128</v>
      </c>
      <c r="X255" s="2006">
        <f t="shared" ca="1" si="22"/>
        <v>4.3138888888888891</v>
      </c>
      <c r="Y255" s="48"/>
    </row>
    <row r="256" spans="1:25" ht="12" customHeight="1">
      <c r="A256" s="48">
        <v>244</v>
      </c>
      <c r="B256" s="2057" t="s">
        <v>47</v>
      </c>
      <c r="C256" s="2438" t="s">
        <v>833</v>
      </c>
      <c r="D256" s="2027" t="s">
        <v>46</v>
      </c>
      <c r="E256" s="2058">
        <f t="shared" si="20"/>
        <v>2420805443</v>
      </c>
      <c r="F256" s="3090">
        <f t="shared" si="21"/>
        <v>149.78840066370168</v>
      </c>
      <c r="G256" s="2377"/>
      <c r="H256" s="2059"/>
      <c r="I256" s="1857">
        <v>99770195</v>
      </c>
      <c r="J256" s="1850">
        <v>184719119</v>
      </c>
      <c r="K256" s="1850">
        <v>19403647</v>
      </c>
      <c r="L256" s="1850">
        <v>420438761</v>
      </c>
      <c r="M256" s="1850">
        <v>590141390</v>
      </c>
      <c r="N256" s="1850">
        <v>509723756</v>
      </c>
      <c r="O256" s="1850">
        <v>341268733</v>
      </c>
      <c r="P256" s="1850">
        <v>41767324</v>
      </c>
      <c r="Q256" s="1850">
        <v>213572518</v>
      </c>
      <c r="R256" s="2032" t="s">
        <v>831</v>
      </c>
      <c r="S256" s="2033" t="s">
        <v>76</v>
      </c>
      <c r="T256" s="2034">
        <v>1</v>
      </c>
      <c r="U256" s="2035">
        <v>35566</v>
      </c>
      <c r="V256" s="2036" t="s">
        <v>89</v>
      </c>
      <c r="W256" s="2036" t="s">
        <v>830</v>
      </c>
      <c r="X256" s="1997">
        <f t="shared" ca="1" si="22"/>
        <v>15.680555555555555</v>
      </c>
      <c r="Y256" s="48">
        <v>244</v>
      </c>
    </row>
    <row r="257" spans="1:25" ht="12" customHeight="1">
      <c r="A257" s="48"/>
      <c r="B257" s="498" t="s">
        <v>47</v>
      </c>
      <c r="C257" s="348" t="s">
        <v>400</v>
      </c>
      <c r="D257" s="1998" t="s">
        <v>46</v>
      </c>
      <c r="E257" s="1745">
        <f t="shared" si="20"/>
        <v>2396537425</v>
      </c>
      <c r="F257" s="3090">
        <f t="shared" si="21"/>
        <v>149.81041508717743</v>
      </c>
      <c r="G257" s="2359"/>
      <c r="H257" s="1731"/>
      <c r="I257" s="1673">
        <v>103475022</v>
      </c>
      <c r="J257" s="1604">
        <v>132986742</v>
      </c>
      <c r="K257" s="1604">
        <v>22204871</v>
      </c>
      <c r="L257" s="1604">
        <v>349567461</v>
      </c>
      <c r="M257" s="1604">
        <v>591840817</v>
      </c>
      <c r="N257" s="1604">
        <v>486132392</v>
      </c>
      <c r="O257" s="1604">
        <v>389931824</v>
      </c>
      <c r="P257" s="1604">
        <v>50752127</v>
      </c>
      <c r="Q257" s="1604">
        <v>269646169</v>
      </c>
      <c r="R257" s="324" t="s">
        <v>401</v>
      </c>
      <c r="S257" s="325" t="s">
        <v>76</v>
      </c>
      <c r="T257" s="479">
        <v>1</v>
      </c>
      <c r="U257" s="1631">
        <v>39448</v>
      </c>
      <c r="V257" s="480" t="s">
        <v>224</v>
      </c>
      <c r="W257" s="480" t="s">
        <v>402</v>
      </c>
      <c r="X257" s="847">
        <f t="shared" ca="1" si="22"/>
        <v>5.0555555555555554</v>
      </c>
      <c r="Y257" s="48"/>
    </row>
    <row r="258" spans="1:25" ht="12" customHeight="1">
      <c r="A258" s="48">
        <v>246</v>
      </c>
      <c r="B258" s="490" t="s">
        <v>47</v>
      </c>
      <c r="C258" s="350" t="s">
        <v>408</v>
      </c>
      <c r="D258" s="464" t="s">
        <v>46</v>
      </c>
      <c r="E258" s="2292">
        <f t="shared" si="20"/>
        <v>2468342422</v>
      </c>
      <c r="F258" s="3090">
        <f t="shared" si="21"/>
        <v>150.23531024949364</v>
      </c>
      <c r="G258" s="2357"/>
      <c r="H258" s="1732"/>
      <c r="I258" s="1678">
        <v>94105986</v>
      </c>
      <c r="J258" s="1697">
        <v>113365154</v>
      </c>
      <c r="K258" s="1697">
        <v>23063635</v>
      </c>
      <c r="L258" s="1697">
        <v>370464774</v>
      </c>
      <c r="M258" s="1697">
        <v>587875931</v>
      </c>
      <c r="N258" s="1697">
        <v>490009961</v>
      </c>
      <c r="O258" s="1697">
        <v>439654316</v>
      </c>
      <c r="P258" s="1697">
        <v>47893821</v>
      </c>
      <c r="Q258" s="1697">
        <v>301908844</v>
      </c>
      <c r="R258" s="333" t="s">
        <v>214</v>
      </c>
      <c r="S258" s="334" t="s">
        <v>76</v>
      </c>
      <c r="T258" s="2568">
        <v>4</v>
      </c>
      <c r="U258" s="1629">
        <v>39551</v>
      </c>
      <c r="V258" s="492" t="s">
        <v>82</v>
      </c>
      <c r="W258" s="492" t="s">
        <v>215</v>
      </c>
      <c r="X258" s="848">
        <f t="shared" ca="1" si="22"/>
        <v>4.7722222222222221</v>
      </c>
      <c r="Y258" s="48">
        <v>246</v>
      </c>
    </row>
    <row r="259" spans="1:25" ht="12" customHeight="1">
      <c r="A259" s="48"/>
      <c r="B259" s="498" t="s">
        <v>47</v>
      </c>
      <c r="C259" s="894" t="s">
        <v>1172</v>
      </c>
      <c r="D259" s="484"/>
      <c r="E259" s="1745">
        <f t="shared" si="20"/>
        <v>2413736832</v>
      </c>
      <c r="F259" s="3090">
        <f t="shared" si="21"/>
        <v>150.62802162268082</v>
      </c>
      <c r="G259" s="2359"/>
      <c r="H259" s="1731"/>
      <c r="I259" s="1681">
        <v>102101396</v>
      </c>
      <c r="J259" s="1674">
        <v>126987113</v>
      </c>
      <c r="K259" s="1674">
        <v>21158939</v>
      </c>
      <c r="L259" s="1674">
        <v>379523449</v>
      </c>
      <c r="M259" s="1674">
        <v>591417913</v>
      </c>
      <c r="N259" s="1674">
        <v>487494148</v>
      </c>
      <c r="O259" s="1604">
        <v>345286247</v>
      </c>
      <c r="P259" s="1674">
        <v>52555563</v>
      </c>
      <c r="Q259" s="1674">
        <v>307212064</v>
      </c>
      <c r="R259" s="324" t="s">
        <v>1162</v>
      </c>
      <c r="S259" s="325" t="s">
        <v>185</v>
      </c>
      <c r="T259" s="479">
        <v>1</v>
      </c>
      <c r="U259" s="1634">
        <v>36371</v>
      </c>
      <c r="V259" s="480" t="s">
        <v>82</v>
      </c>
      <c r="W259" s="480" t="s">
        <v>1163</v>
      </c>
      <c r="X259" s="847">
        <f t="shared" ca="1" si="22"/>
        <v>13.475</v>
      </c>
      <c r="Y259" s="48"/>
    </row>
    <row r="260" spans="1:25" ht="12" customHeight="1">
      <c r="A260" s="48">
        <v>248</v>
      </c>
      <c r="B260" s="1342" t="s">
        <v>1820</v>
      </c>
      <c r="C260" s="892" t="s">
        <v>1090</v>
      </c>
      <c r="D260" s="499" t="s">
        <v>46</v>
      </c>
      <c r="E260" s="1741">
        <f t="shared" si="20"/>
        <v>2433348408</v>
      </c>
      <c r="F260" s="3090">
        <f t="shared" si="21"/>
        <v>151.51816829711936</v>
      </c>
      <c r="G260" s="2364"/>
      <c r="H260" s="1734"/>
      <c r="I260" s="1674">
        <v>101405022</v>
      </c>
      <c r="J260" s="1674">
        <v>129910596</v>
      </c>
      <c r="K260" s="1674">
        <v>20609154</v>
      </c>
      <c r="L260" s="1674">
        <v>379350358</v>
      </c>
      <c r="M260" s="1674">
        <v>593149296</v>
      </c>
      <c r="N260" s="1674">
        <v>489318744</v>
      </c>
      <c r="O260" s="1604">
        <v>356461434</v>
      </c>
      <c r="P260" s="1674">
        <v>52740720</v>
      </c>
      <c r="Q260" s="1674">
        <v>310403084</v>
      </c>
      <c r="R260" s="331" t="s">
        <v>403</v>
      </c>
      <c r="S260" s="332" t="s">
        <v>185</v>
      </c>
      <c r="T260" s="488">
        <v>1</v>
      </c>
      <c r="U260" s="1636">
        <v>34851</v>
      </c>
      <c r="V260" s="489" t="s">
        <v>375</v>
      </c>
      <c r="W260" s="489" t="s">
        <v>1208</v>
      </c>
      <c r="X260" s="848">
        <f t="shared" ca="1" si="22"/>
        <v>17.638888888888889</v>
      </c>
      <c r="Y260" s="48">
        <v>248</v>
      </c>
    </row>
    <row r="261" spans="1:25" ht="12" customHeight="1">
      <c r="A261" s="48"/>
      <c r="B261" s="1345" t="s">
        <v>1820</v>
      </c>
      <c r="C261" s="349" t="s">
        <v>424</v>
      </c>
      <c r="D261" s="506"/>
      <c r="E261" s="2299">
        <f t="shared" si="20"/>
        <v>2501129669</v>
      </c>
      <c r="F261" s="3090">
        <f t="shared" si="21"/>
        <v>153.62025755890164</v>
      </c>
      <c r="G261" s="2367"/>
      <c r="H261" s="1739"/>
      <c r="I261" s="1687">
        <v>101113751</v>
      </c>
      <c r="J261" s="1687">
        <v>124664755</v>
      </c>
      <c r="K261" s="1687">
        <v>20418608</v>
      </c>
      <c r="L261" s="1687">
        <v>378246404</v>
      </c>
      <c r="M261" s="1687">
        <v>591305957</v>
      </c>
      <c r="N261" s="1687">
        <v>486929447</v>
      </c>
      <c r="O261" s="1689">
        <v>441529280</v>
      </c>
      <c r="P261" s="1689">
        <v>52104095</v>
      </c>
      <c r="Q261" s="1687">
        <v>304817372</v>
      </c>
      <c r="R261" s="357" t="s">
        <v>425</v>
      </c>
      <c r="S261" s="358" t="s">
        <v>76</v>
      </c>
      <c r="T261" s="515">
        <v>1</v>
      </c>
      <c r="U261" s="1641">
        <v>36766</v>
      </c>
      <c r="V261" s="516" t="s">
        <v>82</v>
      </c>
      <c r="W261" s="516" t="s">
        <v>410</v>
      </c>
      <c r="X261" s="847">
        <f t="shared" ca="1" si="22"/>
        <v>12.397222222222222</v>
      </c>
      <c r="Y261" s="48"/>
    </row>
    <row r="262" spans="1:25" ht="12" customHeight="1">
      <c r="A262" s="48">
        <v>250</v>
      </c>
      <c r="B262" s="490" t="s">
        <v>47</v>
      </c>
      <c r="C262" s="350" t="s">
        <v>426</v>
      </c>
      <c r="D262" s="511"/>
      <c r="E262" s="2292">
        <f t="shared" si="20"/>
        <v>2481766973</v>
      </c>
      <c r="F262" s="3090">
        <f t="shared" si="21"/>
        <v>154.49076402728406</v>
      </c>
      <c r="G262" s="2357"/>
      <c r="H262" s="1732"/>
      <c r="I262" s="1608">
        <v>105088034</v>
      </c>
      <c r="J262" s="1612">
        <v>125077776</v>
      </c>
      <c r="K262" s="1612">
        <v>23918801</v>
      </c>
      <c r="L262" s="1612">
        <v>365560640</v>
      </c>
      <c r="M262" s="1612">
        <v>588188604</v>
      </c>
      <c r="N262" s="1612">
        <v>489781176</v>
      </c>
      <c r="O262" s="1697">
        <v>454795439</v>
      </c>
      <c r="P262" s="1612">
        <v>51498310</v>
      </c>
      <c r="Q262" s="1612">
        <v>277858193</v>
      </c>
      <c r="R262" s="333" t="s">
        <v>427</v>
      </c>
      <c r="S262" s="334" t="s">
        <v>76</v>
      </c>
      <c r="T262" s="491">
        <v>1</v>
      </c>
      <c r="U262" s="1629">
        <v>35653</v>
      </c>
      <c r="V262" s="492" t="s">
        <v>89</v>
      </c>
      <c r="W262" s="492" t="s">
        <v>139</v>
      </c>
      <c r="X262" s="848">
        <f t="shared" ca="1" si="22"/>
        <v>15.444444444444445</v>
      </c>
      <c r="Y262" s="48">
        <v>250</v>
      </c>
    </row>
    <row r="263" spans="1:25" ht="12" customHeight="1">
      <c r="A263" s="48"/>
      <c r="B263" s="498" t="s">
        <v>47</v>
      </c>
      <c r="C263" s="327" t="s">
        <v>415</v>
      </c>
      <c r="D263" s="484"/>
      <c r="E263" s="1745">
        <f t="shared" si="20"/>
        <v>2507646352</v>
      </c>
      <c r="F263" s="3090">
        <f t="shared" si="21"/>
        <v>154.59547004197373</v>
      </c>
      <c r="G263" s="2364"/>
      <c r="H263" s="1734"/>
      <c r="I263" s="1603">
        <v>96227776</v>
      </c>
      <c r="J263" s="1604">
        <v>122032252</v>
      </c>
      <c r="K263" s="1604">
        <v>25211924</v>
      </c>
      <c r="L263" s="1604">
        <v>382712892</v>
      </c>
      <c r="M263" s="1604">
        <v>586241020</v>
      </c>
      <c r="N263" s="1604">
        <v>488600384</v>
      </c>
      <c r="O263" s="1604">
        <v>448934400</v>
      </c>
      <c r="P263" s="1604">
        <v>46870900</v>
      </c>
      <c r="Q263" s="1604">
        <v>310814804</v>
      </c>
      <c r="R263" s="324" t="s">
        <v>416</v>
      </c>
      <c r="S263" s="325" t="s">
        <v>76</v>
      </c>
      <c r="T263" s="479">
        <v>1</v>
      </c>
      <c r="U263" s="1634">
        <v>39317</v>
      </c>
      <c r="V263" s="480" t="s">
        <v>417</v>
      </c>
      <c r="W263" s="480" t="s">
        <v>418</v>
      </c>
      <c r="X263" s="847">
        <f t="shared" ca="1" si="22"/>
        <v>5.4111111111111114</v>
      </c>
      <c r="Y263" s="48"/>
    </row>
    <row r="264" spans="1:25" ht="12" customHeight="1">
      <c r="A264" s="48">
        <v>252</v>
      </c>
      <c r="B264" s="2064" t="s">
        <v>1820</v>
      </c>
      <c r="C264" s="2065" t="s">
        <v>881</v>
      </c>
      <c r="D264" s="2474" t="s">
        <v>46</v>
      </c>
      <c r="E264" s="2486">
        <f t="shared" si="20"/>
        <v>2486052945</v>
      </c>
      <c r="F264" s="3090">
        <f t="shared" si="21"/>
        <v>154.99327528402301</v>
      </c>
      <c r="G264" s="2502">
        <f>98+137+0+210+165+196+217+85+406</f>
        <v>1514</v>
      </c>
      <c r="H264" s="2066">
        <f>31+53+0+72+21+14+21+79+28</f>
        <v>319</v>
      </c>
      <c r="I264" s="1681">
        <v>100238649</v>
      </c>
      <c r="J264" s="1604">
        <v>132001289</v>
      </c>
      <c r="K264" s="1604">
        <v>19493627</v>
      </c>
      <c r="L264" s="1604">
        <v>372198787</v>
      </c>
      <c r="M264" s="1604">
        <v>590804948</v>
      </c>
      <c r="N264" s="1604">
        <v>487766927</v>
      </c>
      <c r="O264" s="1604">
        <v>429356027</v>
      </c>
      <c r="P264" s="1604">
        <v>59052142</v>
      </c>
      <c r="Q264" s="1604">
        <v>295140549</v>
      </c>
      <c r="R264" s="2067" t="s">
        <v>143</v>
      </c>
      <c r="S264" s="2068" t="s">
        <v>72</v>
      </c>
      <c r="T264" s="2069">
        <v>8</v>
      </c>
      <c r="U264" s="2070">
        <v>39379</v>
      </c>
      <c r="V264" s="2071" t="s">
        <v>89</v>
      </c>
      <c r="W264" s="2071" t="s">
        <v>1211</v>
      </c>
      <c r="X264" s="1489">
        <f t="shared" ca="1" si="22"/>
        <v>5.2416666666666663</v>
      </c>
      <c r="Y264" s="48">
        <v>252</v>
      </c>
    </row>
    <row r="265" spans="1:25" ht="12" customHeight="1">
      <c r="A265" s="48"/>
      <c r="B265" s="548" t="s">
        <v>47</v>
      </c>
      <c r="C265" s="895" t="s">
        <v>419</v>
      </c>
      <c r="D265" s="536"/>
      <c r="E265" s="2307">
        <f t="shared" si="20"/>
        <v>2542768311</v>
      </c>
      <c r="F265" s="3090">
        <f t="shared" si="21"/>
        <v>155.06952856403399</v>
      </c>
      <c r="G265" s="2390"/>
      <c r="H265" s="1751"/>
      <c r="I265" s="1703">
        <v>97180746</v>
      </c>
      <c r="J265" s="1687">
        <v>126037228</v>
      </c>
      <c r="K265" s="1687">
        <v>21637332</v>
      </c>
      <c r="L265" s="1687">
        <v>394674714</v>
      </c>
      <c r="M265" s="1687">
        <v>592367033</v>
      </c>
      <c r="N265" s="1687">
        <v>488980573</v>
      </c>
      <c r="O265" s="1689">
        <v>451536806</v>
      </c>
      <c r="P265" s="1687">
        <v>47917297</v>
      </c>
      <c r="Q265" s="1687">
        <v>322436582</v>
      </c>
      <c r="R265" s="365" t="s">
        <v>420</v>
      </c>
      <c r="S265" s="371" t="s">
        <v>185</v>
      </c>
      <c r="T265" s="541">
        <v>1</v>
      </c>
      <c r="U265" s="1654">
        <v>34943</v>
      </c>
      <c r="V265" s="527" t="s">
        <v>421</v>
      </c>
      <c r="W265" s="527" t="s">
        <v>422</v>
      </c>
      <c r="X265" s="844">
        <f t="shared" ca="1" si="22"/>
        <v>17.388888888888889</v>
      </c>
      <c r="Y265" s="48"/>
    </row>
    <row r="266" spans="1:25" ht="12" customHeight="1">
      <c r="A266" s="48">
        <v>254</v>
      </c>
      <c r="B266" s="544" t="s">
        <v>47</v>
      </c>
      <c r="C266" s="1457" t="s">
        <v>428</v>
      </c>
      <c r="D266" s="561"/>
      <c r="E266" s="2302">
        <f t="shared" si="20"/>
        <v>2527734538</v>
      </c>
      <c r="F266" s="3090">
        <f t="shared" si="21"/>
        <v>155.14344068837397</v>
      </c>
      <c r="G266" s="2395"/>
      <c r="H266" s="1764"/>
      <c r="I266" s="1697">
        <v>97899557</v>
      </c>
      <c r="J266" s="1697">
        <v>129118947</v>
      </c>
      <c r="K266" s="1697">
        <v>22374227</v>
      </c>
      <c r="L266" s="1612">
        <v>377549924</v>
      </c>
      <c r="M266" s="1612">
        <v>594090706</v>
      </c>
      <c r="N266" s="1697">
        <v>490825485</v>
      </c>
      <c r="O266" s="1697">
        <v>459546746</v>
      </c>
      <c r="P266" s="1697">
        <v>49004918</v>
      </c>
      <c r="Q266" s="1697">
        <v>307324028</v>
      </c>
      <c r="R266" s="360" t="s">
        <v>412</v>
      </c>
      <c r="S266" s="361" t="s">
        <v>76</v>
      </c>
      <c r="T266" s="519">
        <v>1</v>
      </c>
      <c r="U266" s="1651">
        <v>39575</v>
      </c>
      <c r="V266" s="520" t="s">
        <v>84</v>
      </c>
      <c r="W266" s="520" t="s">
        <v>399</v>
      </c>
      <c r="X266" s="845">
        <f t="shared" ca="1" si="22"/>
        <v>4.7055555555555557</v>
      </c>
      <c r="Y266" s="48">
        <v>254</v>
      </c>
    </row>
    <row r="267" spans="1:25" ht="12" customHeight="1">
      <c r="A267" s="48"/>
      <c r="B267" s="521" t="s">
        <v>47</v>
      </c>
      <c r="C267" s="896" t="s">
        <v>1160</v>
      </c>
      <c r="D267" s="563" t="s">
        <v>46</v>
      </c>
      <c r="E267" s="1758">
        <f t="shared" si="20"/>
        <v>2493305954</v>
      </c>
      <c r="F267" s="3090">
        <f t="shared" si="21"/>
        <v>155.32263483423213</v>
      </c>
      <c r="G267" s="2382"/>
      <c r="H267" s="1755"/>
      <c r="I267" s="1673">
        <v>114606572</v>
      </c>
      <c r="J267" s="1604">
        <v>139934909</v>
      </c>
      <c r="K267" s="1604">
        <v>19531498</v>
      </c>
      <c r="L267" s="1604">
        <v>361537993</v>
      </c>
      <c r="M267" s="1604">
        <v>612353606</v>
      </c>
      <c r="N267" s="1604">
        <v>505371128</v>
      </c>
      <c r="O267" s="1604">
        <v>398732637</v>
      </c>
      <c r="P267" s="1604">
        <v>53963377</v>
      </c>
      <c r="Q267" s="1604">
        <v>287274234</v>
      </c>
      <c r="R267" s="363" t="s">
        <v>1159</v>
      </c>
      <c r="S267" s="309" t="s">
        <v>185</v>
      </c>
      <c r="T267" s="523">
        <v>1</v>
      </c>
      <c r="U267" s="1646">
        <v>36990</v>
      </c>
      <c r="V267" s="526" t="s">
        <v>138</v>
      </c>
      <c r="W267" s="526" t="s">
        <v>1158</v>
      </c>
      <c r="X267" s="844">
        <f t="shared" ca="1" si="22"/>
        <v>11.783333333333333</v>
      </c>
      <c r="Y267" s="48"/>
    </row>
    <row r="268" spans="1:25" ht="12" customHeight="1">
      <c r="A268" s="48">
        <v>256</v>
      </c>
      <c r="B268" s="546" t="s">
        <v>47</v>
      </c>
      <c r="C268" s="375" t="s">
        <v>432</v>
      </c>
      <c r="D268" s="2072"/>
      <c r="E268" s="1759">
        <f t="shared" si="20"/>
        <v>2515761761</v>
      </c>
      <c r="F268" s="3090">
        <f t="shared" si="21"/>
        <v>155.45521736479247</v>
      </c>
      <c r="G268" s="2381"/>
      <c r="H268" s="1747"/>
      <c r="I268" s="1673">
        <v>101933818</v>
      </c>
      <c r="J268" s="1604">
        <v>132799561</v>
      </c>
      <c r="K268" s="1604">
        <v>19874532</v>
      </c>
      <c r="L268" s="1604">
        <v>379614714</v>
      </c>
      <c r="M268" s="1604">
        <v>591526180</v>
      </c>
      <c r="N268" s="1604">
        <v>487658896</v>
      </c>
      <c r="O268" s="1604">
        <v>439676186</v>
      </c>
      <c r="P268" s="1604">
        <v>53221795</v>
      </c>
      <c r="Q268" s="1604">
        <v>309456079</v>
      </c>
      <c r="R268" s="368" t="s">
        <v>143</v>
      </c>
      <c r="S268" s="369" t="s">
        <v>76</v>
      </c>
      <c r="T268" s="531">
        <v>1</v>
      </c>
      <c r="U268" s="1647">
        <v>39001</v>
      </c>
      <c r="V268" s="532" t="s">
        <v>89</v>
      </c>
      <c r="W268" s="532" t="s">
        <v>404</v>
      </c>
      <c r="X268" s="844">
        <f t="shared" ca="1" si="22"/>
        <v>6.2777777777777777</v>
      </c>
      <c r="Y268" s="48">
        <v>256</v>
      </c>
    </row>
    <row r="269" spans="1:25" ht="12" customHeight="1">
      <c r="A269" s="48"/>
      <c r="B269" s="2420" t="s">
        <v>1820</v>
      </c>
      <c r="C269" s="2440" t="s">
        <v>866</v>
      </c>
      <c r="D269" s="2475"/>
      <c r="E269" s="3066">
        <f t="shared" si="20"/>
        <v>2454477113</v>
      </c>
      <c r="F269" s="3090">
        <f t="shared" si="21"/>
        <v>155.63768159868846</v>
      </c>
      <c r="G269" s="2402"/>
      <c r="H269" s="2136"/>
      <c r="I269" s="1930">
        <v>105080791</v>
      </c>
      <c r="J269" s="1914">
        <v>135653442</v>
      </c>
      <c r="K269" s="1914">
        <v>21700002</v>
      </c>
      <c r="L269" s="1914">
        <v>388737537</v>
      </c>
      <c r="M269" s="1914">
        <v>587377858</v>
      </c>
      <c r="N269" s="1914">
        <v>488478127</v>
      </c>
      <c r="O269" s="1856">
        <v>347018401</v>
      </c>
      <c r="P269" s="1914">
        <v>55423479</v>
      </c>
      <c r="Q269" s="1914">
        <v>325007476</v>
      </c>
      <c r="R269" s="2137" t="s">
        <v>210</v>
      </c>
      <c r="S269" s="2138" t="s">
        <v>76</v>
      </c>
      <c r="T269" s="2139">
        <v>1</v>
      </c>
      <c r="U269" s="2140">
        <v>39527</v>
      </c>
      <c r="V269" s="2141" t="s">
        <v>86</v>
      </c>
      <c r="W269" s="2597" t="s">
        <v>138</v>
      </c>
      <c r="X269" s="2092">
        <f t="shared" ca="1" si="22"/>
        <v>4.8361111111111112</v>
      </c>
      <c r="Y269" s="48"/>
    </row>
    <row r="270" spans="1:25" ht="12" customHeight="1">
      <c r="A270" s="48">
        <v>258</v>
      </c>
      <c r="B270" s="2075" t="s">
        <v>47</v>
      </c>
      <c r="C270" s="2452" t="s">
        <v>1786</v>
      </c>
      <c r="D270" s="1471" t="s">
        <v>46</v>
      </c>
      <c r="E270" s="2301">
        <f t="shared" si="20"/>
        <v>2560372811</v>
      </c>
      <c r="F270" s="3090">
        <f t="shared" si="21"/>
        <v>156.1839255772442</v>
      </c>
      <c r="G270" s="2380">
        <f>930+1262+0+2898+4629+4418+3738+557+3132</f>
        <v>21564</v>
      </c>
      <c r="H270" s="2012"/>
      <c r="I270" s="1858">
        <v>117716555</v>
      </c>
      <c r="J270" s="1850">
        <v>144036167</v>
      </c>
      <c r="K270" s="1850">
        <v>18058983</v>
      </c>
      <c r="L270" s="1850">
        <v>372362490</v>
      </c>
      <c r="M270" s="1850">
        <v>663242852</v>
      </c>
      <c r="N270" s="1850">
        <v>542650404</v>
      </c>
      <c r="O270" s="1850">
        <v>381673629</v>
      </c>
      <c r="P270" s="1850">
        <v>55507810</v>
      </c>
      <c r="Q270" s="1850">
        <v>265123921</v>
      </c>
      <c r="R270" s="2076" t="s">
        <v>1787</v>
      </c>
      <c r="S270" s="2077" t="s">
        <v>76</v>
      </c>
      <c r="T270" s="2078">
        <v>1</v>
      </c>
      <c r="U270" s="2079">
        <v>39441</v>
      </c>
      <c r="V270" s="2080" t="s">
        <v>84</v>
      </c>
      <c r="W270" s="2080" t="s">
        <v>1765</v>
      </c>
      <c r="X270" s="2081">
        <f t="shared" ca="1" si="22"/>
        <v>5.072222222222222</v>
      </c>
      <c r="Y270" s="48">
        <v>258</v>
      </c>
    </row>
    <row r="271" spans="1:25" ht="12" customHeight="1">
      <c r="A271" s="48"/>
      <c r="B271" s="521" t="s">
        <v>47</v>
      </c>
      <c r="C271" s="1437" t="s">
        <v>1792</v>
      </c>
      <c r="D271" s="563" t="s">
        <v>46</v>
      </c>
      <c r="E271" s="1758">
        <f t="shared" si="20"/>
        <v>2513841951</v>
      </c>
      <c r="F271" s="3090">
        <f t="shared" si="21"/>
        <v>156.78178899388004</v>
      </c>
      <c r="G271" s="2392">
        <f>23.5+34.3+0+108.4+109.6+90.3+146.2+18.8+140.7</f>
        <v>671.8</v>
      </c>
      <c r="H271" s="1676"/>
      <c r="I271" s="1673">
        <v>101194212</v>
      </c>
      <c r="J271" s="1604">
        <v>124576501</v>
      </c>
      <c r="K271" s="1604">
        <v>26553037</v>
      </c>
      <c r="L271" s="1604">
        <v>371911997</v>
      </c>
      <c r="M271" s="1604">
        <v>582357437</v>
      </c>
      <c r="N271" s="1604">
        <v>488786885</v>
      </c>
      <c r="O271" s="1604">
        <v>467498307</v>
      </c>
      <c r="P271" s="1604">
        <v>47829036</v>
      </c>
      <c r="Q271" s="1604">
        <v>303134539</v>
      </c>
      <c r="R271" s="363" t="s">
        <v>1791</v>
      </c>
      <c r="S271" s="267" t="s">
        <v>76</v>
      </c>
      <c r="T271" s="523">
        <v>1</v>
      </c>
      <c r="U271" s="1646">
        <v>41192</v>
      </c>
      <c r="V271" s="524" t="s">
        <v>89</v>
      </c>
      <c r="W271" s="524" t="s">
        <v>410</v>
      </c>
      <c r="X271" s="844">
        <f t="shared" ca="1" si="22"/>
        <v>0.28055555555555556</v>
      </c>
      <c r="Y271" s="48"/>
    </row>
    <row r="272" spans="1:25" ht="12" customHeight="1">
      <c r="A272" s="48">
        <v>260</v>
      </c>
      <c r="B272" s="1346" t="s">
        <v>1820</v>
      </c>
      <c r="C272" s="375" t="s">
        <v>1023</v>
      </c>
      <c r="D272" s="2074"/>
      <c r="E272" s="1759">
        <f t="shared" si="20"/>
        <v>2509795032</v>
      </c>
      <c r="F272" s="3090">
        <f t="shared" si="21"/>
        <v>156.88737542450431</v>
      </c>
      <c r="G272" s="2381"/>
      <c r="H272" s="1747"/>
      <c r="I272" s="1776">
        <v>101579418</v>
      </c>
      <c r="J272" s="1604">
        <v>134962165</v>
      </c>
      <c r="K272" s="1674">
        <v>19700332</v>
      </c>
      <c r="L272" s="1674">
        <v>380440699</v>
      </c>
      <c r="M272" s="1674">
        <v>590811778</v>
      </c>
      <c r="N272" s="1674">
        <v>488247614</v>
      </c>
      <c r="O272" s="1604">
        <v>438803257</v>
      </c>
      <c r="P272" s="1674">
        <v>59659758</v>
      </c>
      <c r="Q272" s="1674">
        <v>295590011</v>
      </c>
      <c r="R272" s="368" t="s">
        <v>143</v>
      </c>
      <c r="S272" s="914" t="s">
        <v>72</v>
      </c>
      <c r="T272" s="917">
        <v>8</v>
      </c>
      <c r="U272" s="1650">
        <v>39379</v>
      </c>
      <c r="V272" s="532" t="s">
        <v>89</v>
      </c>
      <c r="W272" s="532" t="s">
        <v>1211</v>
      </c>
      <c r="X272" s="844">
        <f t="shared" ca="1" si="22"/>
        <v>5.2416666666666663</v>
      </c>
      <c r="Y272" s="48">
        <v>260</v>
      </c>
    </row>
    <row r="273" spans="1:25" ht="12" customHeight="1">
      <c r="A273" s="48"/>
      <c r="B273" s="2082" t="s">
        <v>47</v>
      </c>
      <c r="C273" s="2083" t="s">
        <v>439</v>
      </c>
      <c r="D273" s="2084"/>
      <c r="E273" s="3067">
        <f t="shared" si="20"/>
        <v>2536108454</v>
      </c>
      <c r="F273" s="3090">
        <f t="shared" si="21"/>
        <v>157.08147093000127</v>
      </c>
      <c r="G273" s="2383"/>
      <c r="H273" s="2085"/>
      <c r="I273" s="1855">
        <v>104220956</v>
      </c>
      <c r="J273" s="1856">
        <v>130274779</v>
      </c>
      <c r="K273" s="1856">
        <v>21180543</v>
      </c>
      <c r="L273" s="1856">
        <v>381302596</v>
      </c>
      <c r="M273" s="1856">
        <v>592949451</v>
      </c>
      <c r="N273" s="1856">
        <v>489191732</v>
      </c>
      <c r="O273" s="1856">
        <v>451733892</v>
      </c>
      <c r="P273" s="1856">
        <v>52894607</v>
      </c>
      <c r="Q273" s="1856">
        <v>312359898</v>
      </c>
      <c r="R273" s="2086" t="s">
        <v>440</v>
      </c>
      <c r="S273" s="2087" t="s">
        <v>185</v>
      </c>
      <c r="T273" s="2088">
        <v>1</v>
      </c>
      <c r="U273" s="2089">
        <v>35457</v>
      </c>
      <c r="V273" s="2090" t="s">
        <v>441</v>
      </c>
      <c r="W273" s="2091" t="s">
        <v>442</v>
      </c>
      <c r="X273" s="2092">
        <f t="shared" ca="1" si="22"/>
        <v>15.983333333333333</v>
      </c>
      <c r="Y273" s="48"/>
    </row>
    <row r="274" spans="1:25" ht="12" customHeight="1">
      <c r="A274" s="48">
        <v>262</v>
      </c>
      <c r="B274" s="2421" t="s">
        <v>1820</v>
      </c>
      <c r="C274" s="2093" t="s">
        <v>1022</v>
      </c>
      <c r="D274" s="2094"/>
      <c r="E274" s="2313">
        <f t="shared" si="20"/>
        <v>2483167326</v>
      </c>
      <c r="F274" s="3090">
        <f t="shared" si="21"/>
        <v>157.19622547040336</v>
      </c>
      <c r="G274" s="2403">
        <f>95+74+0+123+43+28+168+64+10</f>
        <v>605</v>
      </c>
      <c r="H274" s="2095"/>
      <c r="I274" s="1849">
        <v>107423966</v>
      </c>
      <c r="J274" s="1857">
        <v>146374158</v>
      </c>
      <c r="K274" s="1857">
        <v>20149095</v>
      </c>
      <c r="L274" s="2533">
        <v>352644412</v>
      </c>
      <c r="M274" s="1857">
        <v>592017480</v>
      </c>
      <c r="N274" s="2533">
        <v>489970179</v>
      </c>
      <c r="O274" s="1850">
        <v>456583402</v>
      </c>
      <c r="P274" s="1857">
        <v>60686389</v>
      </c>
      <c r="Q274" s="1857">
        <v>257318245</v>
      </c>
      <c r="R274" s="2096" t="s">
        <v>876</v>
      </c>
      <c r="S274" s="2145" t="s">
        <v>76</v>
      </c>
      <c r="T274" s="2146">
        <v>1</v>
      </c>
      <c r="U274" s="2097">
        <v>40458</v>
      </c>
      <c r="V274" s="2098" t="s">
        <v>488</v>
      </c>
      <c r="W274" s="2098" t="s">
        <v>467</v>
      </c>
      <c r="X274" s="2081">
        <f t="shared" ca="1" si="22"/>
        <v>2.2888888888888888</v>
      </c>
      <c r="Y274" s="48">
        <v>262</v>
      </c>
    </row>
    <row r="275" spans="1:25" ht="12" customHeight="1">
      <c r="A275" s="48"/>
      <c r="B275" s="533" t="s">
        <v>47</v>
      </c>
      <c r="C275" s="362" t="s">
        <v>1147</v>
      </c>
      <c r="D275" s="2478"/>
      <c r="E275" s="1758">
        <f t="shared" si="20"/>
        <v>2533487193</v>
      </c>
      <c r="F275" s="3090">
        <f t="shared" si="21"/>
        <v>157.51688351634184</v>
      </c>
      <c r="G275" s="2407">
        <f>2.87+7.6+0+11.64+12.47+4.15+2.36+21.9+5.8</f>
        <v>68.789999999999992</v>
      </c>
      <c r="H275" s="2101"/>
      <c r="I275" s="1776">
        <v>104988115</v>
      </c>
      <c r="J275" s="1674">
        <v>135038527</v>
      </c>
      <c r="K275" s="1674">
        <v>20783020</v>
      </c>
      <c r="L275" s="1674">
        <v>379106650</v>
      </c>
      <c r="M275" s="1674">
        <v>592643328</v>
      </c>
      <c r="N275" s="1674">
        <v>488510967</v>
      </c>
      <c r="O275" s="1604">
        <v>448643543</v>
      </c>
      <c r="P275" s="1674">
        <v>53499232</v>
      </c>
      <c r="Q275" s="1674">
        <v>310273811</v>
      </c>
      <c r="R275" s="363" t="s">
        <v>826</v>
      </c>
      <c r="S275" s="309" t="s">
        <v>76</v>
      </c>
      <c r="T275" s="537">
        <v>8</v>
      </c>
      <c r="U275" s="1646">
        <v>40875</v>
      </c>
      <c r="V275" s="524" t="s">
        <v>268</v>
      </c>
      <c r="W275" s="524" t="s">
        <v>827</v>
      </c>
      <c r="X275" s="844">
        <f t="shared" ca="1" si="22"/>
        <v>1.1472222222222221</v>
      </c>
      <c r="Y275" s="48"/>
    </row>
    <row r="276" spans="1:25" ht="12" customHeight="1">
      <c r="A276" s="48">
        <v>264</v>
      </c>
      <c r="B276" s="544" t="s">
        <v>47</v>
      </c>
      <c r="C276" s="377" t="s">
        <v>444</v>
      </c>
      <c r="D276" s="538"/>
      <c r="E276" s="2302">
        <f t="shared" si="20"/>
        <v>2537852600</v>
      </c>
      <c r="F276" s="3090">
        <f t="shared" si="21"/>
        <v>157.53653162374505</v>
      </c>
      <c r="G276" s="2388"/>
      <c r="H276" s="1749"/>
      <c r="I276" s="1608">
        <v>103362520</v>
      </c>
      <c r="J276" s="1697">
        <v>130410172</v>
      </c>
      <c r="K276" s="1697">
        <v>21681412</v>
      </c>
      <c r="L276" s="1697">
        <v>383539272</v>
      </c>
      <c r="M276" s="1697">
        <v>594807932</v>
      </c>
      <c r="N276" s="1697">
        <v>490609868</v>
      </c>
      <c r="O276" s="1697">
        <v>445656548</v>
      </c>
      <c r="P276" s="1697">
        <v>53470440</v>
      </c>
      <c r="Q276" s="1697">
        <v>314314436</v>
      </c>
      <c r="R276" s="372" t="s">
        <v>416</v>
      </c>
      <c r="S276" s="305" t="s">
        <v>76</v>
      </c>
      <c r="T276" s="542">
        <v>1</v>
      </c>
      <c r="U276" s="1651">
        <v>39317</v>
      </c>
      <c r="V276" s="543" t="s">
        <v>417</v>
      </c>
      <c r="W276" s="543" t="s">
        <v>410</v>
      </c>
      <c r="X276" s="845">
        <f t="shared" ca="1" si="22"/>
        <v>5.4111111111111114</v>
      </c>
      <c r="Y276" s="48">
        <v>264</v>
      </c>
    </row>
    <row r="277" spans="1:25" ht="12" customHeight="1">
      <c r="A277" s="48"/>
      <c r="B277" s="533" t="s">
        <v>47</v>
      </c>
      <c r="C277" s="370" t="s">
        <v>433</v>
      </c>
      <c r="D277" s="540"/>
      <c r="E277" s="1756">
        <f t="shared" si="20"/>
        <v>2510644097</v>
      </c>
      <c r="F277" s="3090">
        <f t="shared" si="21"/>
        <v>157.5352879726974</v>
      </c>
      <c r="G277" s="2381"/>
      <c r="H277" s="1747"/>
      <c r="I277" s="1603">
        <v>105213527</v>
      </c>
      <c r="J277" s="1674">
        <v>132402103</v>
      </c>
      <c r="K277" s="1674">
        <v>21874077</v>
      </c>
      <c r="L277" s="1674">
        <v>395545157</v>
      </c>
      <c r="M277" s="1674">
        <v>606556827</v>
      </c>
      <c r="N277" s="1674">
        <v>492153779</v>
      </c>
      <c r="O277" s="1604">
        <v>372489875</v>
      </c>
      <c r="P277" s="1674">
        <v>55429853</v>
      </c>
      <c r="Q277" s="1674">
        <v>328978899</v>
      </c>
      <c r="R277" s="368" t="s">
        <v>434</v>
      </c>
      <c r="S277" s="369" t="s">
        <v>76</v>
      </c>
      <c r="T277" s="531">
        <v>1</v>
      </c>
      <c r="U277" s="1647">
        <v>36533</v>
      </c>
      <c r="V277" s="532" t="s">
        <v>435</v>
      </c>
      <c r="W277" s="532" t="s">
        <v>1054</v>
      </c>
      <c r="X277" s="844">
        <f t="shared" ca="1" si="22"/>
        <v>13.036111111111111</v>
      </c>
      <c r="Y277" s="48"/>
    </row>
    <row r="278" spans="1:25" ht="12" customHeight="1">
      <c r="A278" s="48">
        <v>266</v>
      </c>
      <c r="B278" s="521" t="s">
        <v>47</v>
      </c>
      <c r="C278" s="364" t="s">
        <v>1783</v>
      </c>
      <c r="D278" s="525" t="s">
        <v>46</v>
      </c>
      <c r="E278" s="1758">
        <f t="shared" si="20"/>
        <v>2502720635</v>
      </c>
      <c r="F278" s="3090">
        <f t="shared" si="21"/>
        <v>157.42188959976991</v>
      </c>
      <c r="G278" s="2392">
        <f>702+3006+0+2107+1961+1528+2036+794+2677</f>
        <v>14811</v>
      </c>
      <c r="H278" s="1676"/>
      <c r="I278" s="1681">
        <v>100436911</v>
      </c>
      <c r="J278" s="1604">
        <v>125226684</v>
      </c>
      <c r="K278" s="1604">
        <v>28926914</v>
      </c>
      <c r="L278" s="1604">
        <v>364442031</v>
      </c>
      <c r="M278" s="1604">
        <v>589369343</v>
      </c>
      <c r="N278" s="1604">
        <v>493608318</v>
      </c>
      <c r="O278" s="1604">
        <v>458378688</v>
      </c>
      <c r="P278" s="1604">
        <v>48557820</v>
      </c>
      <c r="Q278" s="1604">
        <v>293773926</v>
      </c>
      <c r="R278" s="363" t="s">
        <v>1782</v>
      </c>
      <c r="S278" s="267" t="s">
        <v>76</v>
      </c>
      <c r="T278" s="523">
        <v>1</v>
      </c>
      <c r="U278" s="1646">
        <v>39420</v>
      </c>
      <c r="V278" s="524" t="s">
        <v>84</v>
      </c>
      <c r="W278" s="524" t="s">
        <v>402</v>
      </c>
      <c r="X278" s="845">
        <f t="shared" ca="1" si="22"/>
        <v>5.1305555555555555</v>
      </c>
      <c r="Y278" s="48">
        <v>266</v>
      </c>
    </row>
    <row r="279" spans="1:25" ht="12" customHeight="1">
      <c r="A279" s="48"/>
      <c r="B279" s="539" t="s">
        <v>47</v>
      </c>
      <c r="C279" s="359" t="s">
        <v>371</v>
      </c>
      <c r="D279" s="549" t="s">
        <v>46</v>
      </c>
      <c r="E279" s="3068">
        <f t="shared" si="20"/>
        <v>2577383868</v>
      </c>
      <c r="F279" s="3090">
        <f t="shared" si="21"/>
        <v>157.93062985991622</v>
      </c>
      <c r="G279" s="2390"/>
      <c r="H279" s="1751"/>
      <c r="I279" s="1703">
        <v>99118949</v>
      </c>
      <c r="J279" s="1689">
        <v>130006531</v>
      </c>
      <c r="K279" s="1689">
        <v>22019214</v>
      </c>
      <c r="L279" s="1689">
        <v>402704755</v>
      </c>
      <c r="M279" s="1689">
        <v>588579801</v>
      </c>
      <c r="N279" s="1689">
        <v>490630093</v>
      </c>
      <c r="O279" s="1689">
        <v>456991600</v>
      </c>
      <c r="P279" s="1689">
        <v>47307974</v>
      </c>
      <c r="Q279" s="1689">
        <v>340024951</v>
      </c>
      <c r="R279" s="365" t="s">
        <v>240</v>
      </c>
      <c r="S279" s="371" t="s">
        <v>76</v>
      </c>
      <c r="T279" s="541">
        <v>1</v>
      </c>
      <c r="U279" s="1654">
        <v>39188</v>
      </c>
      <c r="V279" s="527" t="s">
        <v>82</v>
      </c>
      <c r="W279" s="527" t="s">
        <v>372</v>
      </c>
      <c r="X279" s="844">
        <f t="shared" ca="1" si="22"/>
        <v>5.7638888888888893</v>
      </c>
      <c r="Y279" s="48"/>
    </row>
    <row r="280" spans="1:25" ht="12" customHeight="1">
      <c r="A280" s="48">
        <v>268</v>
      </c>
      <c r="B280" s="544" t="s">
        <v>47</v>
      </c>
      <c r="C280" s="380" t="s">
        <v>1793</v>
      </c>
      <c r="D280" s="552" t="s">
        <v>46</v>
      </c>
      <c r="E280" s="2488">
        <f t="shared" si="20"/>
        <v>2457437645</v>
      </c>
      <c r="F280" s="3090">
        <f t="shared" si="21"/>
        <v>158.34659823530279</v>
      </c>
      <c r="G280" s="2398">
        <f>124+176+0+395+622+516+480+86+402</f>
        <v>2801</v>
      </c>
      <c r="H280" s="1761"/>
      <c r="I280" s="1612">
        <v>125237237</v>
      </c>
      <c r="J280" s="1612">
        <v>150595241</v>
      </c>
      <c r="K280" s="1612">
        <v>19974613</v>
      </c>
      <c r="L280" s="1612">
        <v>348535101</v>
      </c>
      <c r="M280" s="1612">
        <v>603070573</v>
      </c>
      <c r="N280" s="1612">
        <v>492959669</v>
      </c>
      <c r="O280" s="1697">
        <v>377805449</v>
      </c>
      <c r="P280" s="1612">
        <v>59089449</v>
      </c>
      <c r="Q280" s="1612">
        <v>280170313</v>
      </c>
      <c r="R280" s="372" t="s">
        <v>1795</v>
      </c>
      <c r="S280" s="923" t="s">
        <v>72</v>
      </c>
      <c r="T280" s="542">
        <v>1</v>
      </c>
      <c r="U280" s="1651">
        <v>40890</v>
      </c>
      <c r="V280" s="543" t="s">
        <v>605</v>
      </c>
      <c r="W280" s="543" t="s">
        <v>1794</v>
      </c>
      <c r="X280" s="845">
        <f t="shared" ca="1" si="22"/>
        <v>1.1055555555555556</v>
      </c>
      <c r="Y280" s="48">
        <v>268</v>
      </c>
    </row>
    <row r="281" spans="1:25" ht="12" customHeight="1">
      <c r="A281" s="48"/>
      <c r="B281" s="533" t="s">
        <v>47</v>
      </c>
      <c r="C281" s="375" t="s">
        <v>449</v>
      </c>
      <c r="D281" s="540"/>
      <c r="E281" s="1756">
        <f t="shared" si="20"/>
        <v>2547489677</v>
      </c>
      <c r="F281" s="3090">
        <f t="shared" si="21"/>
        <v>158.58345087968766</v>
      </c>
      <c r="G281" s="2389">
        <f>31+47+0+75+32+26+61+22+114</f>
        <v>408</v>
      </c>
      <c r="H281" s="1757">
        <f>3+3.4+0+8.2+4.9+4.6+9+1.7+10.9</f>
        <v>45.7</v>
      </c>
      <c r="I281" s="1603">
        <v>104897704</v>
      </c>
      <c r="J281" s="1604">
        <v>134298028</v>
      </c>
      <c r="K281" s="1674">
        <v>20782917</v>
      </c>
      <c r="L281" s="1674">
        <v>387558733</v>
      </c>
      <c r="M281" s="1674">
        <v>591772244</v>
      </c>
      <c r="N281" s="1674">
        <v>488128103</v>
      </c>
      <c r="O281" s="1604">
        <v>454798979</v>
      </c>
      <c r="P281" s="1674">
        <v>55162675</v>
      </c>
      <c r="Q281" s="1674">
        <v>310090294</v>
      </c>
      <c r="R281" s="368" t="s">
        <v>445</v>
      </c>
      <c r="S281" s="369" t="s">
        <v>76</v>
      </c>
      <c r="T281" s="531">
        <v>1</v>
      </c>
      <c r="U281" s="1650">
        <v>39370</v>
      </c>
      <c r="V281" s="532" t="s">
        <v>268</v>
      </c>
      <c r="W281" s="532" t="s">
        <v>446</v>
      </c>
      <c r="X281" s="844">
        <f t="shared" ca="1" si="22"/>
        <v>5.2666666666666666</v>
      </c>
      <c r="Y281" s="48"/>
    </row>
    <row r="282" spans="1:25" ht="12" customHeight="1">
      <c r="A282" s="48">
        <v>270</v>
      </c>
      <c r="B282" s="546" t="s">
        <v>47</v>
      </c>
      <c r="C282" s="375" t="s">
        <v>447</v>
      </c>
      <c r="D282" s="540"/>
      <c r="E282" s="1759">
        <f t="shared" si="20"/>
        <v>2531572021</v>
      </c>
      <c r="F282" s="3090">
        <f t="shared" si="21"/>
        <v>158.69718592684936</v>
      </c>
      <c r="G282" s="2381"/>
      <c r="H282" s="1747"/>
      <c r="I282" s="1681">
        <v>104581205</v>
      </c>
      <c r="J282" s="1604">
        <v>131340707</v>
      </c>
      <c r="K282" s="1604">
        <v>20592377</v>
      </c>
      <c r="L282" s="1604">
        <v>379765796</v>
      </c>
      <c r="M282" s="1604">
        <v>592251397</v>
      </c>
      <c r="N282" s="1604">
        <v>488233128</v>
      </c>
      <c r="O282" s="1604">
        <v>444543225</v>
      </c>
      <c r="P282" s="1604">
        <v>59423107</v>
      </c>
      <c r="Q282" s="1604">
        <v>310841079</v>
      </c>
      <c r="R282" s="368" t="s">
        <v>440</v>
      </c>
      <c r="S282" s="369" t="s">
        <v>76</v>
      </c>
      <c r="T282" s="531">
        <v>1</v>
      </c>
      <c r="U282" s="1647">
        <v>36253</v>
      </c>
      <c r="V282" s="562" t="s">
        <v>138</v>
      </c>
      <c r="W282" s="532" t="s">
        <v>448</v>
      </c>
      <c r="X282" s="845">
        <f t="shared" ca="1" si="22"/>
        <v>13.8</v>
      </c>
      <c r="Y282" s="48">
        <v>270</v>
      </c>
    </row>
    <row r="283" spans="1:25" ht="12" customHeight="1">
      <c r="A283" s="48"/>
      <c r="B283" s="548" t="s">
        <v>47</v>
      </c>
      <c r="C283" s="895" t="s">
        <v>1183</v>
      </c>
      <c r="D283" s="536"/>
      <c r="E283" s="2307">
        <f t="shared" si="20"/>
        <v>2553379922</v>
      </c>
      <c r="F283" s="3090">
        <f t="shared" si="21"/>
        <v>158.8151330822547</v>
      </c>
      <c r="G283" s="2387"/>
      <c r="H283" s="1748"/>
      <c r="I283" s="1703">
        <v>105055813</v>
      </c>
      <c r="J283" s="1687">
        <v>132442344</v>
      </c>
      <c r="K283" s="1687">
        <v>21087473</v>
      </c>
      <c r="L283" s="1687">
        <v>385054868</v>
      </c>
      <c r="M283" s="1687">
        <v>591628398</v>
      </c>
      <c r="N283" s="1687">
        <v>488624070</v>
      </c>
      <c r="O283" s="1689">
        <v>455451053</v>
      </c>
      <c r="P283" s="1687">
        <v>54183882</v>
      </c>
      <c r="Q283" s="1687">
        <v>319852021</v>
      </c>
      <c r="R283" s="376" t="s">
        <v>1182</v>
      </c>
      <c r="S283" s="384" t="s">
        <v>185</v>
      </c>
      <c r="T283" s="550">
        <v>1</v>
      </c>
      <c r="U283" s="1648">
        <v>35620</v>
      </c>
      <c r="V283" s="551" t="s">
        <v>268</v>
      </c>
      <c r="W283" s="555" t="s">
        <v>138</v>
      </c>
      <c r="X283" s="844">
        <f t="shared" ca="1" si="22"/>
        <v>15.533333333333333</v>
      </c>
      <c r="Y283" s="48"/>
    </row>
    <row r="284" spans="1:25" ht="12" customHeight="1">
      <c r="A284" s="48">
        <v>272</v>
      </c>
      <c r="B284" s="528" t="s">
        <v>47</v>
      </c>
      <c r="C284" s="897" t="s">
        <v>458</v>
      </c>
      <c r="D284" s="529"/>
      <c r="E284" s="2305">
        <f t="shared" si="20"/>
        <v>2555019222</v>
      </c>
      <c r="F284" s="3090">
        <f t="shared" si="21"/>
        <v>158.84060131321806</v>
      </c>
      <c r="G284" s="2388"/>
      <c r="H284" s="1749"/>
      <c r="I284" s="1608">
        <v>104276392</v>
      </c>
      <c r="J284" s="1612">
        <v>132237361</v>
      </c>
      <c r="K284" s="1612">
        <v>20914037</v>
      </c>
      <c r="L284" s="1612">
        <v>389704571</v>
      </c>
      <c r="M284" s="1612">
        <v>591581747</v>
      </c>
      <c r="N284" s="1612">
        <v>488389399</v>
      </c>
      <c r="O284" s="1697">
        <v>450514241</v>
      </c>
      <c r="P284" s="1612">
        <v>54477772</v>
      </c>
      <c r="Q284" s="1697">
        <v>322923702</v>
      </c>
      <c r="R284" s="360" t="s">
        <v>459</v>
      </c>
      <c r="S284" s="361" t="s">
        <v>185</v>
      </c>
      <c r="T284" s="519">
        <v>1</v>
      </c>
      <c r="U284" s="1653">
        <v>34090</v>
      </c>
      <c r="V284" s="520" t="s">
        <v>82</v>
      </c>
      <c r="W284" s="520" t="s">
        <v>138</v>
      </c>
      <c r="X284" s="845">
        <f t="shared" ca="1" si="22"/>
        <v>19.722222222222221</v>
      </c>
      <c r="Y284" s="48">
        <v>272</v>
      </c>
    </row>
    <row r="285" spans="1:25" ht="12" customHeight="1">
      <c r="A285" s="48"/>
      <c r="B285" s="2422" t="s">
        <v>1820</v>
      </c>
      <c r="C285" s="887" t="s">
        <v>473</v>
      </c>
      <c r="D285" s="525" t="s">
        <v>46</v>
      </c>
      <c r="E285" s="2303">
        <f t="shared" si="20"/>
        <v>2554418052</v>
      </c>
      <c r="F285" s="3090">
        <f t="shared" si="21"/>
        <v>158.85684338152427</v>
      </c>
      <c r="G285" s="2381"/>
      <c r="H285" s="1747"/>
      <c r="I285" s="1603">
        <v>105064136</v>
      </c>
      <c r="J285" s="1674">
        <v>132442344</v>
      </c>
      <c r="K285" s="1674">
        <v>21087473</v>
      </c>
      <c r="L285" s="1674">
        <v>386155781</v>
      </c>
      <c r="M285" s="1674">
        <v>591637934</v>
      </c>
      <c r="N285" s="1674">
        <v>488620590</v>
      </c>
      <c r="O285" s="1604">
        <v>455389159</v>
      </c>
      <c r="P285" s="1674">
        <v>54169917</v>
      </c>
      <c r="Q285" s="1674">
        <v>319850718</v>
      </c>
      <c r="R285" s="365" t="s">
        <v>474</v>
      </c>
      <c r="S285" s="371" t="s">
        <v>185</v>
      </c>
      <c r="T285" s="541">
        <v>1</v>
      </c>
      <c r="U285" s="1654">
        <v>34274</v>
      </c>
      <c r="V285" s="527" t="s">
        <v>475</v>
      </c>
      <c r="W285" s="527" t="s">
        <v>476</v>
      </c>
      <c r="X285" s="844">
        <f t="shared" ca="1" si="22"/>
        <v>19.222222222222221</v>
      </c>
      <c r="Y285" s="48"/>
    </row>
    <row r="286" spans="1:25" ht="12" customHeight="1">
      <c r="A286" s="48">
        <v>274</v>
      </c>
      <c r="B286" s="530" t="s">
        <v>47</v>
      </c>
      <c r="C286" s="886" t="s">
        <v>453</v>
      </c>
      <c r="D286" s="529"/>
      <c r="E286" s="2304">
        <f t="shared" si="20"/>
        <v>2559393885</v>
      </c>
      <c r="F286" s="3090">
        <f t="shared" si="21"/>
        <v>158.89007555170213</v>
      </c>
      <c r="G286" s="2388"/>
      <c r="H286" s="1749"/>
      <c r="I286" s="1608">
        <v>103603537</v>
      </c>
      <c r="J286" s="1612">
        <v>132872076</v>
      </c>
      <c r="K286" s="1612">
        <v>20822334</v>
      </c>
      <c r="L286" s="1612">
        <v>387192577</v>
      </c>
      <c r="M286" s="1612">
        <v>596935770</v>
      </c>
      <c r="N286" s="1612">
        <v>488009979</v>
      </c>
      <c r="O286" s="1697">
        <v>453127853</v>
      </c>
      <c r="P286" s="1612">
        <v>54615984</v>
      </c>
      <c r="Q286" s="1612">
        <v>322213775</v>
      </c>
      <c r="R286" s="360" t="s">
        <v>454</v>
      </c>
      <c r="S286" s="361" t="s">
        <v>185</v>
      </c>
      <c r="T286" s="519">
        <v>1</v>
      </c>
      <c r="U286" s="1653">
        <v>34410</v>
      </c>
      <c r="V286" s="520" t="s">
        <v>231</v>
      </c>
      <c r="W286" s="520" t="s">
        <v>139</v>
      </c>
      <c r="X286" s="845">
        <f t="shared" ca="1" si="22"/>
        <v>18.844444444444445</v>
      </c>
      <c r="Y286" s="48">
        <v>274</v>
      </c>
    </row>
    <row r="287" spans="1:25" ht="12" customHeight="1">
      <c r="A287" s="48"/>
      <c r="B287" s="546" t="s">
        <v>47</v>
      </c>
      <c r="C287" s="889" t="s">
        <v>450</v>
      </c>
      <c r="D287" s="540"/>
      <c r="E287" s="1759">
        <f t="shared" si="20"/>
        <v>2555145565</v>
      </c>
      <c r="F287" s="3090">
        <f t="shared" si="21"/>
        <v>158.98715475538401</v>
      </c>
      <c r="G287" s="2381"/>
      <c r="H287" s="1747"/>
      <c r="I287" s="1681">
        <v>103970015</v>
      </c>
      <c r="J287" s="1604">
        <v>133150238</v>
      </c>
      <c r="K287" s="1604">
        <v>21155016</v>
      </c>
      <c r="L287" s="1604">
        <v>386931812</v>
      </c>
      <c r="M287" s="1604">
        <v>592713348</v>
      </c>
      <c r="N287" s="1604">
        <v>489210409</v>
      </c>
      <c r="O287" s="1604">
        <v>452684500</v>
      </c>
      <c r="P287" s="1604">
        <v>54547013</v>
      </c>
      <c r="Q287" s="1604">
        <v>320783214</v>
      </c>
      <c r="R287" s="368" t="s">
        <v>451</v>
      </c>
      <c r="S287" s="369" t="s">
        <v>185</v>
      </c>
      <c r="T287" s="531">
        <v>1</v>
      </c>
      <c r="U287" s="1647">
        <v>34456</v>
      </c>
      <c r="V287" s="532" t="s">
        <v>89</v>
      </c>
      <c r="W287" s="532" t="s">
        <v>452</v>
      </c>
      <c r="X287" s="844">
        <f t="shared" ca="1" si="22"/>
        <v>18.719444444444445</v>
      </c>
      <c r="Y287" s="48"/>
    </row>
    <row r="288" spans="1:25" ht="12" customHeight="1">
      <c r="A288" s="48">
        <v>276</v>
      </c>
      <c r="B288" s="546" t="s">
        <v>47</v>
      </c>
      <c r="C288" s="889" t="s">
        <v>463</v>
      </c>
      <c r="D288" s="540"/>
      <c r="E288" s="1759">
        <f t="shared" si="20"/>
        <v>2569620402</v>
      </c>
      <c r="F288" s="3090">
        <f t="shared" si="21"/>
        <v>159.12865686521664</v>
      </c>
      <c r="G288" s="2381"/>
      <c r="H288" s="1747"/>
      <c r="I288" s="1603">
        <v>104443611</v>
      </c>
      <c r="J288" s="1674">
        <v>132218880</v>
      </c>
      <c r="K288" s="1674">
        <v>21079464</v>
      </c>
      <c r="L288" s="1760">
        <v>386388042</v>
      </c>
      <c r="M288" s="1674">
        <v>609149792</v>
      </c>
      <c r="N288" s="1760">
        <v>488182368</v>
      </c>
      <c r="O288" s="1604">
        <v>454773941</v>
      </c>
      <c r="P288" s="1674">
        <v>54519654</v>
      </c>
      <c r="Q288" s="1674">
        <v>318864650</v>
      </c>
      <c r="R288" s="368" t="s">
        <v>464</v>
      </c>
      <c r="S288" s="369" t="s">
        <v>185</v>
      </c>
      <c r="T288" s="531">
        <v>1</v>
      </c>
      <c r="U288" s="1650">
        <v>34402</v>
      </c>
      <c r="V288" s="532" t="s">
        <v>138</v>
      </c>
      <c r="W288" s="532" t="s">
        <v>139</v>
      </c>
      <c r="X288" s="845">
        <f t="shared" ca="1" si="22"/>
        <v>18.866666666666667</v>
      </c>
      <c r="Y288" s="48">
        <v>276</v>
      </c>
    </row>
    <row r="289" spans="1:25" ht="12" customHeight="1">
      <c r="A289" s="48"/>
      <c r="B289" s="1446" t="s">
        <v>47</v>
      </c>
      <c r="C289" s="1456" t="s">
        <v>423</v>
      </c>
      <c r="D289" s="906"/>
      <c r="E289" s="2308">
        <f t="shared" si="20"/>
        <v>2531367534</v>
      </c>
      <c r="F289" s="3090">
        <f t="shared" si="21"/>
        <v>159.38056414135698</v>
      </c>
      <c r="G289" s="2394"/>
      <c r="H289" s="1763"/>
      <c r="I289" s="1703">
        <v>114908220</v>
      </c>
      <c r="J289" s="1687">
        <v>130234378</v>
      </c>
      <c r="K289" s="1687">
        <v>16891803</v>
      </c>
      <c r="L289" s="1687">
        <v>370877284</v>
      </c>
      <c r="M289" s="1687">
        <v>627986159</v>
      </c>
      <c r="N289" s="1687">
        <v>510269066</v>
      </c>
      <c r="O289" s="1689">
        <v>409681311</v>
      </c>
      <c r="P289" s="1687">
        <v>72619456</v>
      </c>
      <c r="Q289" s="1687">
        <v>277899857</v>
      </c>
      <c r="R289" s="907" t="s">
        <v>164</v>
      </c>
      <c r="S289" s="1478" t="s">
        <v>76</v>
      </c>
      <c r="T289" s="1484">
        <v>1</v>
      </c>
      <c r="U289" s="1658">
        <v>37960</v>
      </c>
      <c r="V289" s="909" t="s">
        <v>82</v>
      </c>
      <c r="W289" s="909" t="s">
        <v>1195</v>
      </c>
      <c r="X289" s="844">
        <f t="shared" ca="1" si="22"/>
        <v>9.1277777777777782</v>
      </c>
      <c r="Y289" s="48"/>
    </row>
    <row r="290" spans="1:25" ht="12" customHeight="1">
      <c r="A290" s="48">
        <v>278</v>
      </c>
      <c r="B290" s="1445" t="s">
        <v>1820</v>
      </c>
      <c r="C290" s="1454" t="s">
        <v>483</v>
      </c>
      <c r="D290" s="518"/>
      <c r="E290" s="2305">
        <f t="shared" si="20"/>
        <v>2565715846</v>
      </c>
      <c r="F290" s="3090">
        <f t="shared" si="21"/>
        <v>159.49391593873253</v>
      </c>
      <c r="G290" s="2388"/>
      <c r="H290" s="1749"/>
      <c r="I290" s="1608">
        <v>104880267</v>
      </c>
      <c r="J290" s="1612">
        <v>128549872</v>
      </c>
      <c r="K290" s="1612">
        <v>22596377</v>
      </c>
      <c r="L290" s="1612">
        <v>385353967</v>
      </c>
      <c r="M290" s="1612">
        <v>591561807</v>
      </c>
      <c r="N290" s="1612">
        <v>489162147</v>
      </c>
      <c r="O290" s="1697">
        <v>477180230</v>
      </c>
      <c r="P290" s="1612">
        <v>53769745</v>
      </c>
      <c r="Q290" s="1612">
        <v>312661434</v>
      </c>
      <c r="R290" s="360" t="s">
        <v>168</v>
      </c>
      <c r="S290" s="361" t="s">
        <v>185</v>
      </c>
      <c r="T290" s="519">
        <v>1</v>
      </c>
      <c r="U290" s="1653">
        <v>35007</v>
      </c>
      <c r="V290" s="520" t="s">
        <v>82</v>
      </c>
      <c r="W290" s="520" t="s">
        <v>198</v>
      </c>
      <c r="X290" s="845">
        <f t="shared" ca="1" si="22"/>
        <v>17.213888888888889</v>
      </c>
      <c r="Y290" s="48">
        <v>278</v>
      </c>
    </row>
    <row r="291" spans="1:25" ht="12" customHeight="1">
      <c r="A291" s="48"/>
      <c r="B291" s="533" t="s">
        <v>47</v>
      </c>
      <c r="C291" s="375" t="s">
        <v>845</v>
      </c>
      <c r="D291" s="540"/>
      <c r="E291" s="1756">
        <f t="shared" si="20"/>
        <v>2561770475</v>
      </c>
      <c r="F291" s="3090">
        <f t="shared" si="21"/>
        <v>159.54765478662728</v>
      </c>
      <c r="G291" s="2389">
        <f>6.8+9.6+0+17.3+8.3+6.7+15.1+4.8+27.2</f>
        <v>95.800000000000011</v>
      </c>
      <c r="H291" s="1757">
        <f>1.3+2+0+4.9+1.7+1.9+6+1+6.6</f>
        <v>25.4</v>
      </c>
      <c r="I291" s="1603">
        <v>104690300</v>
      </c>
      <c r="J291" s="1604">
        <v>134232108</v>
      </c>
      <c r="K291" s="1674">
        <v>20806386</v>
      </c>
      <c r="L291" s="1674">
        <v>387820923</v>
      </c>
      <c r="M291" s="1674">
        <v>591758006</v>
      </c>
      <c r="N291" s="1674">
        <v>488490199</v>
      </c>
      <c r="O291" s="1604">
        <v>455557843</v>
      </c>
      <c r="P291" s="1674">
        <v>55027876</v>
      </c>
      <c r="Q291" s="1674">
        <v>323386834</v>
      </c>
      <c r="R291" s="368" t="s">
        <v>445</v>
      </c>
      <c r="S291" s="369" t="s">
        <v>76</v>
      </c>
      <c r="T291" s="918">
        <v>8</v>
      </c>
      <c r="U291" s="1650">
        <v>40195</v>
      </c>
      <c r="V291" s="532" t="s">
        <v>844</v>
      </c>
      <c r="W291" s="532" t="s">
        <v>446</v>
      </c>
      <c r="X291" s="844">
        <f t="shared" ca="1" si="22"/>
        <v>3.0111111111111111</v>
      </c>
      <c r="Y291" s="48"/>
    </row>
    <row r="292" spans="1:25" ht="12" customHeight="1">
      <c r="A292" s="48">
        <v>280</v>
      </c>
      <c r="B292" s="559" t="s">
        <v>47</v>
      </c>
      <c r="C292" s="861" t="s">
        <v>840</v>
      </c>
      <c r="D292" s="2479"/>
      <c r="E292" s="1753">
        <f t="shared" si="20"/>
        <v>2520787645</v>
      </c>
      <c r="F292" s="3090">
        <f t="shared" si="21"/>
        <v>159.79866832699702</v>
      </c>
      <c r="G292" s="2386"/>
      <c r="H292" s="1754"/>
      <c r="I292" s="1603">
        <v>100224441</v>
      </c>
      <c r="J292" s="1604">
        <v>131502022</v>
      </c>
      <c r="K292" s="1674">
        <v>27755040</v>
      </c>
      <c r="L292" s="1604">
        <v>368927074</v>
      </c>
      <c r="M292" s="1674">
        <v>588145482</v>
      </c>
      <c r="N292" s="1604">
        <v>487951181</v>
      </c>
      <c r="O292" s="1604">
        <v>450558018</v>
      </c>
      <c r="P292" s="1604">
        <v>51264391</v>
      </c>
      <c r="Q292" s="1604">
        <v>314459996</v>
      </c>
      <c r="R292" s="865" t="s">
        <v>836</v>
      </c>
      <c r="S292" s="868" t="s">
        <v>76</v>
      </c>
      <c r="T292" s="872">
        <v>1</v>
      </c>
      <c r="U292" s="1652">
        <v>40290</v>
      </c>
      <c r="V292" s="875" t="s">
        <v>268</v>
      </c>
      <c r="W292" s="875" t="s">
        <v>837</v>
      </c>
      <c r="X292" s="845">
        <f t="shared" ca="1" si="22"/>
        <v>2.7472222222222222</v>
      </c>
      <c r="Y292" s="48">
        <v>280</v>
      </c>
    </row>
    <row r="293" spans="1:25" ht="12" customHeight="1">
      <c r="A293" s="48"/>
      <c r="B293" s="553" t="s">
        <v>47</v>
      </c>
      <c r="C293" s="885" t="s">
        <v>504</v>
      </c>
      <c r="D293" s="540"/>
      <c r="E293" s="2306">
        <f t="shared" si="20"/>
        <v>2566683280</v>
      </c>
      <c r="F293" s="3090">
        <f t="shared" si="21"/>
        <v>160.18510406247998</v>
      </c>
      <c r="G293" s="2390"/>
      <c r="H293" s="1751"/>
      <c r="I293" s="1703">
        <v>117734443</v>
      </c>
      <c r="J293" s="1687">
        <v>143552934</v>
      </c>
      <c r="K293" s="1687">
        <v>18125562</v>
      </c>
      <c r="L293" s="1687">
        <v>373070047</v>
      </c>
      <c r="M293" s="1687">
        <v>609160704</v>
      </c>
      <c r="N293" s="1687">
        <v>492148736</v>
      </c>
      <c r="O293" s="1689">
        <v>452686200</v>
      </c>
      <c r="P293" s="1687">
        <v>56411847</v>
      </c>
      <c r="Q293" s="1687">
        <v>303792807</v>
      </c>
      <c r="R293" s="365" t="s">
        <v>503</v>
      </c>
      <c r="S293" s="371" t="s">
        <v>185</v>
      </c>
      <c r="T293" s="541">
        <v>1</v>
      </c>
      <c r="U293" s="1654">
        <v>35246</v>
      </c>
      <c r="V293" s="527" t="s">
        <v>375</v>
      </c>
      <c r="W293" s="527" t="s">
        <v>438</v>
      </c>
      <c r="X293" s="844">
        <f t="shared" ca="1" si="22"/>
        <v>16.558333333333334</v>
      </c>
      <c r="Y293" s="48"/>
    </row>
    <row r="294" spans="1:25" ht="12" customHeight="1">
      <c r="A294" s="48">
        <v>282</v>
      </c>
      <c r="B294" s="533" t="s">
        <v>47</v>
      </c>
      <c r="C294" s="884" t="s">
        <v>502</v>
      </c>
      <c r="D294" s="529"/>
      <c r="E294" s="2304">
        <f t="shared" si="20"/>
        <v>2566683280</v>
      </c>
      <c r="F294" s="3090">
        <f t="shared" si="21"/>
        <v>160.18510406247998</v>
      </c>
      <c r="G294" s="2388"/>
      <c r="H294" s="1749"/>
      <c r="I294" s="1608">
        <v>117734443</v>
      </c>
      <c r="J294" s="1612">
        <v>143552934</v>
      </c>
      <c r="K294" s="1612">
        <v>18125562</v>
      </c>
      <c r="L294" s="1612">
        <v>373070047</v>
      </c>
      <c r="M294" s="1612">
        <v>609160704</v>
      </c>
      <c r="N294" s="1612">
        <v>492148736</v>
      </c>
      <c r="O294" s="1697">
        <v>452686200</v>
      </c>
      <c r="P294" s="1612">
        <v>56411847</v>
      </c>
      <c r="Q294" s="1612">
        <v>303792807</v>
      </c>
      <c r="R294" s="360" t="s">
        <v>503</v>
      </c>
      <c r="S294" s="361" t="s">
        <v>185</v>
      </c>
      <c r="T294" s="519">
        <v>1</v>
      </c>
      <c r="U294" s="1653">
        <v>33923</v>
      </c>
      <c r="V294" s="520" t="s">
        <v>375</v>
      </c>
      <c r="W294" s="520" t="s">
        <v>438</v>
      </c>
      <c r="X294" s="845">
        <f t="shared" ca="1" si="22"/>
        <v>20.183333333333334</v>
      </c>
      <c r="Y294" s="48">
        <v>282</v>
      </c>
    </row>
    <row r="295" spans="1:25" ht="12" customHeight="1">
      <c r="A295" s="48"/>
      <c r="B295" s="539" t="s">
        <v>47</v>
      </c>
      <c r="C295" s="887" t="s">
        <v>436</v>
      </c>
      <c r="D295" s="540"/>
      <c r="E295" s="2303">
        <f t="shared" si="20"/>
        <v>2573183322</v>
      </c>
      <c r="F295" s="3090">
        <f t="shared" si="21"/>
        <v>160.25934294121487</v>
      </c>
      <c r="G295" s="2381"/>
      <c r="H295" s="1747"/>
      <c r="I295" s="1603">
        <v>105235790</v>
      </c>
      <c r="J295" s="1674">
        <v>135015772</v>
      </c>
      <c r="K295" s="1674">
        <v>20453207</v>
      </c>
      <c r="L295" s="1674">
        <v>389848137</v>
      </c>
      <c r="M295" s="1674">
        <v>593082411</v>
      </c>
      <c r="N295" s="1674">
        <v>489076112</v>
      </c>
      <c r="O295" s="1604">
        <v>457767478</v>
      </c>
      <c r="P295" s="1674">
        <v>55648776</v>
      </c>
      <c r="Q295" s="1674">
        <v>327055639</v>
      </c>
      <c r="R295" s="368" t="s">
        <v>437</v>
      </c>
      <c r="S295" s="369" t="s">
        <v>185</v>
      </c>
      <c r="T295" s="531">
        <v>1</v>
      </c>
      <c r="U295" s="1650">
        <v>35042</v>
      </c>
      <c r="V295" s="532" t="s">
        <v>82</v>
      </c>
      <c r="W295" s="532" t="s">
        <v>438</v>
      </c>
      <c r="X295" s="844">
        <f t="shared" ca="1" si="22"/>
        <v>17.116666666666667</v>
      </c>
      <c r="Y295" s="48"/>
    </row>
    <row r="296" spans="1:25" ht="12" customHeight="1">
      <c r="A296" s="48">
        <v>284</v>
      </c>
      <c r="B296" s="900" t="s">
        <v>47</v>
      </c>
      <c r="C296" s="826" t="s">
        <v>1269</v>
      </c>
      <c r="D296" s="538"/>
      <c r="E296" s="2302">
        <f t="shared" si="20"/>
        <v>2388824169</v>
      </c>
      <c r="F296" s="3090">
        <f t="shared" si="21"/>
        <v>160.37563926450628</v>
      </c>
      <c r="G296" s="2399">
        <f>380+603+0+644+1687+303+263+446+940</f>
        <v>5266</v>
      </c>
      <c r="H296" s="1766"/>
      <c r="I296" s="1608">
        <v>125476350</v>
      </c>
      <c r="J296" s="1697">
        <v>160181360</v>
      </c>
      <c r="K296" s="1612">
        <v>18054489</v>
      </c>
      <c r="L296" s="1612">
        <v>336533783</v>
      </c>
      <c r="M296" s="1612">
        <v>603454552</v>
      </c>
      <c r="N296" s="1612">
        <v>452480375</v>
      </c>
      <c r="O296" s="1697">
        <v>286326540</v>
      </c>
      <c r="P296" s="1697">
        <v>67790468</v>
      </c>
      <c r="Q296" s="1612">
        <v>338526252</v>
      </c>
      <c r="R296" s="372" t="s">
        <v>927</v>
      </c>
      <c r="S296" s="305" t="s">
        <v>76</v>
      </c>
      <c r="T296" s="542">
        <v>1</v>
      </c>
      <c r="U296" s="1651">
        <v>41068</v>
      </c>
      <c r="V296" s="543" t="s">
        <v>84</v>
      </c>
      <c r="W296" s="543" t="s">
        <v>1270</v>
      </c>
      <c r="X296" s="845">
        <f t="shared" ca="1" si="22"/>
        <v>0.61944444444444446</v>
      </c>
      <c r="Y296" s="48">
        <v>284</v>
      </c>
    </row>
    <row r="297" spans="1:25" ht="12" customHeight="1">
      <c r="A297" s="48"/>
      <c r="B297" s="1349" t="s">
        <v>1820</v>
      </c>
      <c r="C297" s="889" t="s">
        <v>1193</v>
      </c>
      <c r="D297" s="525"/>
      <c r="E297" s="1756">
        <f t="shared" si="20"/>
        <v>2568765325</v>
      </c>
      <c r="F297" s="3090">
        <f t="shared" si="21"/>
        <v>160.41657280433736</v>
      </c>
      <c r="G297" s="2381"/>
      <c r="H297" s="1747"/>
      <c r="I297" s="1603">
        <v>105943786</v>
      </c>
      <c r="J297" s="1604">
        <v>134406375</v>
      </c>
      <c r="K297" s="1604">
        <v>21087473</v>
      </c>
      <c r="L297" s="1604">
        <v>386154511</v>
      </c>
      <c r="M297" s="1604">
        <v>591637841</v>
      </c>
      <c r="N297" s="1604">
        <v>488740131</v>
      </c>
      <c r="O297" s="1604">
        <v>464935863</v>
      </c>
      <c r="P297" s="1604">
        <v>56008637</v>
      </c>
      <c r="Q297" s="1676">
        <v>319850708</v>
      </c>
      <c r="R297" s="368" t="s">
        <v>474</v>
      </c>
      <c r="S297" s="369" t="s">
        <v>185</v>
      </c>
      <c r="T297" s="531">
        <v>1</v>
      </c>
      <c r="U297" s="1647">
        <v>34933</v>
      </c>
      <c r="V297" s="532" t="s">
        <v>1194</v>
      </c>
      <c r="W297" s="532" t="s">
        <v>476</v>
      </c>
      <c r="X297" s="844">
        <f t="shared" ca="1" si="22"/>
        <v>17.413888888888888</v>
      </c>
      <c r="Y297" s="48"/>
    </row>
    <row r="298" spans="1:25" ht="12" customHeight="1">
      <c r="A298" s="48">
        <v>286</v>
      </c>
      <c r="B298" s="1348" t="s">
        <v>1820</v>
      </c>
      <c r="C298" s="366" t="s">
        <v>465</v>
      </c>
      <c r="D298" s="518"/>
      <c r="E298" s="2304">
        <f t="shared" si="20"/>
        <v>2567255394</v>
      </c>
      <c r="F298" s="3090">
        <f t="shared" si="21"/>
        <v>160.65944954239154</v>
      </c>
      <c r="G298" s="2388"/>
      <c r="H298" s="1749"/>
      <c r="I298" s="1608">
        <v>105156637</v>
      </c>
      <c r="J298" s="1612">
        <v>134688487</v>
      </c>
      <c r="K298" s="1612">
        <v>21691875</v>
      </c>
      <c r="L298" s="1612">
        <v>388707398</v>
      </c>
      <c r="M298" s="1612">
        <v>591778840</v>
      </c>
      <c r="N298" s="1612">
        <v>488469311</v>
      </c>
      <c r="O298" s="1697">
        <v>455858586</v>
      </c>
      <c r="P298" s="1612">
        <v>55524841</v>
      </c>
      <c r="Q298" s="1612">
        <v>325379419</v>
      </c>
      <c r="R298" s="360" t="s">
        <v>466</v>
      </c>
      <c r="S298" s="361" t="s">
        <v>76</v>
      </c>
      <c r="T298" s="519">
        <v>1</v>
      </c>
      <c r="U298" s="1653">
        <v>37748</v>
      </c>
      <c r="V298" s="520" t="s">
        <v>84</v>
      </c>
      <c r="W298" s="520" t="s">
        <v>467</v>
      </c>
      <c r="X298" s="845">
        <f t="shared" ca="1" si="22"/>
        <v>9.7055555555555557</v>
      </c>
      <c r="Y298" s="48">
        <v>286</v>
      </c>
    </row>
    <row r="299" spans="1:25" ht="12" customHeight="1">
      <c r="A299" s="48"/>
      <c r="B299" s="546" t="s">
        <v>47</v>
      </c>
      <c r="C299" s="890" t="s">
        <v>481</v>
      </c>
      <c r="D299" s="525" t="s">
        <v>46</v>
      </c>
      <c r="E299" s="1759">
        <f t="shared" si="20"/>
        <v>2582848908</v>
      </c>
      <c r="F299" s="3090">
        <f t="shared" si="21"/>
        <v>160.68756474006162</v>
      </c>
      <c r="G299" s="2381"/>
      <c r="H299" s="1747"/>
      <c r="I299" s="1681">
        <v>104840725</v>
      </c>
      <c r="J299" s="1604">
        <v>133374487</v>
      </c>
      <c r="K299" s="1604">
        <v>22098767</v>
      </c>
      <c r="L299" s="1604">
        <v>388251939</v>
      </c>
      <c r="M299" s="1604">
        <v>609160814</v>
      </c>
      <c r="N299" s="1604">
        <v>490486557</v>
      </c>
      <c r="O299" s="1604">
        <v>456278902</v>
      </c>
      <c r="P299" s="1604">
        <v>54723495</v>
      </c>
      <c r="Q299" s="1604">
        <v>323633222</v>
      </c>
      <c r="R299" s="368" t="s">
        <v>482</v>
      </c>
      <c r="S299" s="369" t="s">
        <v>185</v>
      </c>
      <c r="T299" s="531">
        <v>1</v>
      </c>
      <c r="U299" s="1647">
        <v>34233</v>
      </c>
      <c r="V299" s="532" t="s">
        <v>129</v>
      </c>
      <c r="W299" s="532" t="s">
        <v>472</v>
      </c>
      <c r="X299" s="844">
        <f t="shared" ca="1" si="22"/>
        <v>19.333333333333332</v>
      </c>
      <c r="Y299" s="48"/>
    </row>
    <row r="300" spans="1:25" ht="12" customHeight="1">
      <c r="A300" s="48">
        <v>288</v>
      </c>
      <c r="B300" s="1349" t="s">
        <v>1820</v>
      </c>
      <c r="C300" s="370" t="s">
        <v>1021</v>
      </c>
      <c r="D300" s="534"/>
      <c r="E300" s="1756">
        <f t="shared" si="20"/>
        <v>2542767394</v>
      </c>
      <c r="F300" s="3090">
        <f t="shared" si="21"/>
        <v>160.70148116475278</v>
      </c>
      <c r="G300" s="2381"/>
      <c r="H300" s="1747"/>
      <c r="I300" s="1612">
        <v>103314684</v>
      </c>
      <c r="J300" s="1674">
        <v>139521304</v>
      </c>
      <c r="K300" s="1674">
        <v>21355984</v>
      </c>
      <c r="L300" s="1674">
        <v>381657973</v>
      </c>
      <c r="M300" s="1674">
        <v>593011791</v>
      </c>
      <c r="N300" s="1674">
        <v>488740679</v>
      </c>
      <c r="O300" s="1604">
        <v>444419172</v>
      </c>
      <c r="P300" s="1674">
        <v>60277915</v>
      </c>
      <c r="Q300" s="1674">
        <v>310467892</v>
      </c>
      <c r="R300" s="368" t="s">
        <v>440</v>
      </c>
      <c r="S300" s="369" t="s">
        <v>76</v>
      </c>
      <c r="T300" s="531">
        <v>1</v>
      </c>
      <c r="U300" s="1647">
        <v>38346</v>
      </c>
      <c r="V300" s="532" t="s">
        <v>167</v>
      </c>
      <c r="W300" s="532" t="s">
        <v>404</v>
      </c>
      <c r="X300" s="845">
        <f t="shared" ca="1" si="22"/>
        <v>8.0722222222222229</v>
      </c>
      <c r="Y300" s="48">
        <v>288</v>
      </c>
    </row>
    <row r="301" spans="1:25" ht="12" customHeight="1">
      <c r="A301" s="48"/>
      <c r="B301" s="539" t="s">
        <v>47</v>
      </c>
      <c r="C301" s="887" t="s">
        <v>468</v>
      </c>
      <c r="D301" s="547"/>
      <c r="E301" s="2303">
        <f t="shared" si="20"/>
        <v>2565345075</v>
      </c>
      <c r="F301" s="3090">
        <f t="shared" si="21"/>
        <v>160.76829267133937</v>
      </c>
      <c r="G301" s="2390"/>
      <c r="H301" s="1751"/>
      <c r="I301" s="1703">
        <v>104791894</v>
      </c>
      <c r="J301" s="1687">
        <v>134707393</v>
      </c>
      <c r="K301" s="1687">
        <v>22119020</v>
      </c>
      <c r="L301" s="1687">
        <v>389625412</v>
      </c>
      <c r="M301" s="1687">
        <v>593172292</v>
      </c>
      <c r="N301" s="1687">
        <v>489077382</v>
      </c>
      <c r="O301" s="1689">
        <v>450153726</v>
      </c>
      <c r="P301" s="1687">
        <v>55530641</v>
      </c>
      <c r="Q301" s="1687">
        <v>326167315</v>
      </c>
      <c r="R301" s="365" t="s">
        <v>469</v>
      </c>
      <c r="S301" s="371" t="s">
        <v>185</v>
      </c>
      <c r="T301" s="541">
        <v>1</v>
      </c>
      <c r="U301" s="1654">
        <v>33993</v>
      </c>
      <c r="V301" s="527" t="s">
        <v>356</v>
      </c>
      <c r="W301" s="527" t="s">
        <v>404</v>
      </c>
      <c r="X301" s="844">
        <f t="shared" ca="1" si="22"/>
        <v>19.991666666666667</v>
      </c>
      <c r="Y301" s="48"/>
    </row>
    <row r="302" spans="1:25" ht="12" customHeight="1">
      <c r="A302" s="48">
        <v>290</v>
      </c>
      <c r="B302" s="528" t="s">
        <v>47</v>
      </c>
      <c r="C302" s="897" t="s">
        <v>479</v>
      </c>
      <c r="D302" s="529"/>
      <c r="E302" s="2305">
        <f t="shared" si="20"/>
        <v>2566289914</v>
      </c>
      <c r="F302" s="3090">
        <f t="shared" si="21"/>
        <v>160.82543406152888</v>
      </c>
      <c r="G302" s="2388"/>
      <c r="H302" s="1749"/>
      <c r="I302" s="1608">
        <v>104765965</v>
      </c>
      <c r="J302" s="1612">
        <v>134359757</v>
      </c>
      <c r="K302" s="1612">
        <v>22586343</v>
      </c>
      <c r="L302" s="1612">
        <v>388810200</v>
      </c>
      <c r="M302" s="1612">
        <v>593713023</v>
      </c>
      <c r="N302" s="1612">
        <v>489596059</v>
      </c>
      <c r="O302" s="1697">
        <v>453539700</v>
      </c>
      <c r="P302" s="1612">
        <v>55071335</v>
      </c>
      <c r="Q302" s="1612">
        <v>323847532</v>
      </c>
      <c r="R302" s="360" t="s">
        <v>480</v>
      </c>
      <c r="S302" s="361" t="s">
        <v>185</v>
      </c>
      <c r="T302" s="519">
        <v>1</v>
      </c>
      <c r="U302" s="1653">
        <v>35387</v>
      </c>
      <c r="V302" s="520" t="s">
        <v>82</v>
      </c>
      <c r="W302" s="520" t="s">
        <v>139</v>
      </c>
      <c r="X302" s="845">
        <f t="shared" ca="1" si="22"/>
        <v>16.175000000000001</v>
      </c>
      <c r="Y302" s="48">
        <v>290</v>
      </c>
    </row>
    <row r="303" spans="1:25" ht="12" customHeight="1">
      <c r="A303" s="48"/>
      <c r="B303" s="1349" t="s">
        <v>1820</v>
      </c>
      <c r="C303" s="829" t="s">
        <v>1179</v>
      </c>
      <c r="D303" s="540"/>
      <c r="E303" s="1756">
        <f t="shared" si="20"/>
        <v>2552376162</v>
      </c>
      <c r="F303" s="3090">
        <f t="shared" si="21"/>
        <v>161.16007327787898</v>
      </c>
      <c r="G303" s="2389">
        <f>37+29+0+62+21+15+24+11+39</f>
        <v>238</v>
      </c>
      <c r="H303" s="1747"/>
      <c r="I303" s="1681">
        <v>105454982</v>
      </c>
      <c r="J303" s="1604">
        <v>137626506</v>
      </c>
      <c r="K303" s="1604">
        <v>20579306</v>
      </c>
      <c r="L303" s="1604">
        <v>387116812</v>
      </c>
      <c r="M303" s="1604">
        <v>591371951</v>
      </c>
      <c r="N303" s="1604">
        <v>488019468</v>
      </c>
      <c r="O303" s="1604">
        <v>449905509</v>
      </c>
      <c r="P303" s="1604">
        <v>61603814</v>
      </c>
      <c r="Q303" s="1604">
        <v>310697814</v>
      </c>
      <c r="R303" s="368" t="s">
        <v>143</v>
      </c>
      <c r="S303" s="369" t="s">
        <v>76</v>
      </c>
      <c r="T303" s="531">
        <v>1</v>
      </c>
      <c r="U303" s="1647">
        <v>40901</v>
      </c>
      <c r="V303" s="532" t="s">
        <v>89</v>
      </c>
      <c r="W303" s="532" t="s">
        <v>1211</v>
      </c>
      <c r="X303" s="844">
        <f t="shared" ca="1" si="22"/>
        <v>1.075</v>
      </c>
      <c r="Y303" s="48"/>
    </row>
    <row r="304" spans="1:25" ht="12" customHeight="1">
      <c r="A304" s="48">
        <v>292</v>
      </c>
      <c r="B304" s="521" t="s">
        <v>47</v>
      </c>
      <c r="C304" s="364" t="s">
        <v>443</v>
      </c>
      <c r="D304" s="525" t="s">
        <v>46</v>
      </c>
      <c r="E304" s="1758">
        <f t="shared" si="20"/>
        <v>2575623968</v>
      </c>
      <c r="F304" s="3090">
        <f t="shared" si="21"/>
        <v>161.3929669146226</v>
      </c>
      <c r="G304" s="2382"/>
      <c r="H304" s="1755"/>
      <c r="I304" s="1681">
        <v>104645817</v>
      </c>
      <c r="J304" s="1604">
        <v>130006531</v>
      </c>
      <c r="K304" s="1604">
        <v>22082163</v>
      </c>
      <c r="L304" s="1604">
        <v>402704755</v>
      </c>
      <c r="M304" s="1604">
        <v>595643356</v>
      </c>
      <c r="N304" s="1604">
        <v>490630093</v>
      </c>
      <c r="O304" s="1604">
        <v>435507523</v>
      </c>
      <c r="P304" s="1604">
        <v>57313237</v>
      </c>
      <c r="Q304" s="1604">
        <v>337090493</v>
      </c>
      <c r="R304" s="363" t="s">
        <v>240</v>
      </c>
      <c r="S304" s="309" t="s">
        <v>76</v>
      </c>
      <c r="T304" s="523">
        <v>1</v>
      </c>
      <c r="U304" s="1646">
        <v>39512</v>
      </c>
      <c r="V304" s="524" t="s">
        <v>82</v>
      </c>
      <c r="W304" s="524" t="s">
        <v>128</v>
      </c>
      <c r="X304" s="845">
        <f t="shared" ca="1" si="22"/>
        <v>4.8777777777777782</v>
      </c>
      <c r="Y304" s="48">
        <v>292</v>
      </c>
    </row>
    <row r="305" spans="1:25" ht="12" customHeight="1">
      <c r="A305" s="48"/>
      <c r="B305" s="535" t="s">
        <v>47</v>
      </c>
      <c r="C305" s="1459" t="s">
        <v>505</v>
      </c>
      <c r="D305" s="549" t="s">
        <v>46</v>
      </c>
      <c r="E305" s="2309">
        <f t="shared" si="20"/>
        <v>2598828739</v>
      </c>
      <c r="F305" s="3090">
        <f t="shared" si="21"/>
        <v>161.48258546219338</v>
      </c>
      <c r="G305" s="2387"/>
      <c r="H305" s="1748"/>
      <c r="I305" s="1702">
        <v>107107036</v>
      </c>
      <c r="J305" s="1689">
        <v>144273129</v>
      </c>
      <c r="K305" s="1689">
        <v>20698721</v>
      </c>
      <c r="L305" s="1689">
        <v>388333151</v>
      </c>
      <c r="M305" s="1689">
        <v>614628727</v>
      </c>
      <c r="N305" s="1689">
        <v>505573853</v>
      </c>
      <c r="O305" s="1689">
        <v>460907811</v>
      </c>
      <c r="P305" s="1689">
        <v>56243939</v>
      </c>
      <c r="Q305" s="1689">
        <v>301062372</v>
      </c>
      <c r="R305" s="376" t="s">
        <v>506</v>
      </c>
      <c r="S305" s="276" t="s">
        <v>185</v>
      </c>
      <c r="T305" s="550">
        <v>1</v>
      </c>
      <c r="U305" s="1648">
        <v>34213</v>
      </c>
      <c r="V305" s="551" t="s">
        <v>73</v>
      </c>
      <c r="W305" s="551" t="s">
        <v>507</v>
      </c>
      <c r="X305" s="844">
        <f t="shared" ca="1" si="22"/>
        <v>19.388888888888889</v>
      </c>
      <c r="Y305" s="48"/>
    </row>
    <row r="306" spans="1:25" ht="12" customHeight="1">
      <c r="A306" s="48">
        <v>294</v>
      </c>
      <c r="B306" s="530" t="s">
        <v>47</v>
      </c>
      <c r="C306" s="385" t="s">
        <v>530</v>
      </c>
      <c r="D306" s="552" t="s">
        <v>46</v>
      </c>
      <c r="E306" s="2304">
        <f t="shared" si="20"/>
        <v>2747254625</v>
      </c>
      <c r="F306" s="3090">
        <f t="shared" si="21"/>
        <v>161.69857874630694</v>
      </c>
      <c r="G306" s="2388"/>
      <c r="H306" s="1749"/>
      <c r="I306" s="1678">
        <v>128704856</v>
      </c>
      <c r="J306" s="1612">
        <v>148184944</v>
      </c>
      <c r="K306" s="1697">
        <v>18104466</v>
      </c>
      <c r="L306" s="1697">
        <v>389260049</v>
      </c>
      <c r="M306" s="1697">
        <v>756489385</v>
      </c>
      <c r="N306" s="1697">
        <v>633300733</v>
      </c>
      <c r="O306" s="1697">
        <v>379679795</v>
      </c>
      <c r="P306" s="1697">
        <v>55644938</v>
      </c>
      <c r="Q306" s="1612">
        <v>237885459</v>
      </c>
      <c r="R306" s="360" t="s">
        <v>531</v>
      </c>
      <c r="S306" s="361" t="s">
        <v>76</v>
      </c>
      <c r="T306" s="519">
        <v>1</v>
      </c>
      <c r="U306" s="1653">
        <v>39079</v>
      </c>
      <c r="V306" s="520" t="s">
        <v>129</v>
      </c>
      <c r="W306" s="520" t="s">
        <v>532</v>
      </c>
      <c r="X306" s="845">
        <f t="shared" ca="1" si="22"/>
        <v>6.0638888888888891</v>
      </c>
      <c r="Y306" s="48">
        <v>294</v>
      </c>
    </row>
    <row r="307" spans="1:25" ht="12" customHeight="1">
      <c r="A307" s="48"/>
      <c r="B307" s="1349" t="s">
        <v>1820</v>
      </c>
      <c r="C307" s="370" t="s">
        <v>470</v>
      </c>
      <c r="D307" s="540"/>
      <c r="E307" s="3069">
        <f t="shared" si="20"/>
        <v>2569958001</v>
      </c>
      <c r="F307" s="3090">
        <f t="shared" si="21"/>
        <v>161.71961241527421</v>
      </c>
      <c r="G307" s="2381"/>
      <c r="H307" s="1747"/>
      <c r="I307" s="1681">
        <v>105333318</v>
      </c>
      <c r="J307" s="1674">
        <v>136595571</v>
      </c>
      <c r="K307" s="1604">
        <v>20790827</v>
      </c>
      <c r="L307" s="1604">
        <v>388506095</v>
      </c>
      <c r="M307" s="1604">
        <v>591744013</v>
      </c>
      <c r="N307" s="1604">
        <v>488454861</v>
      </c>
      <c r="O307" s="1604">
        <v>455514505</v>
      </c>
      <c r="P307" s="1604">
        <v>59735051</v>
      </c>
      <c r="Q307" s="1674">
        <v>323283760</v>
      </c>
      <c r="R307" s="368" t="s">
        <v>471</v>
      </c>
      <c r="S307" s="369" t="s">
        <v>76</v>
      </c>
      <c r="T307" s="531">
        <v>1</v>
      </c>
      <c r="U307" s="1647">
        <v>37985</v>
      </c>
      <c r="V307" s="532" t="s">
        <v>82</v>
      </c>
      <c r="W307" s="532" t="s">
        <v>472</v>
      </c>
      <c r="X307" s="844">
        <f t="shared" ca="1" si="22"/>
        <v>9.0583333333333336</v>
      </c>
      <c r="Y307" s="48"/>
    </row>
    <row r="308" spans="1:25" ht="12" customHeight="1">
      <c r="A308" s="48">
        <v>296</v>
      </c>
      <c r="B308" s="1346" t="s">
        <v>1820</v>
      </c>
      <c r="C308" s="375" t="s">
        <v>1260</v>
      </c>
      <c r="D308" s="525" t="s">
        <v>46</v>
      </c>
      <c r="E308" s="1759">
        <f t="shared" si="20"/>
        <v>2574065833</v>
      </c>
      <c r="F308" s="3090">
        <f t="shared" si="21"/>
        <v>162.44160933375684</v>
      </c>
      <c r="G308" s="2389">
        <f>73+103+0+237+150+70+50+145+62</f>
        <v>890</v>
      </c>
      <c r="H308" s="1747"/>
      <c r="I308" s="1681">
        <v>105527253</v>
      </c>
      <c r="J308" s="1604">
        <v>137677037</v>
      </c>
      <c r="K308" s="1604">
        <v>20859360</v>
      </c>
      <c r="L308" s="1604">
        <v>388998319</v>
      </c>
      <c r="M308" s="1604">
        <v>591718258</v>
      </c>
      <c r="N308" s="1604">
        <v>488407996</v>
      </c>
      <c r="O308" s="1604">
        <v>455777802</v>
      </c>
      <c r="P308" s="1604">
        <v>60741264</v>
      </c>
      <c r="Q308" s="1604">
        <v>324358544</v>
      </c>
      <c r="R308" s="1473" t="s">
        <v>477</v>
      </c>
      <c r="S308" s="374" t="s">
        <v>76</v>
      </c>
      <c r="T308" s="531">
        <v>1</v>
      </c>
      <c r="U308" s="1650">
        <v>40435</v>
      </c>
      <c r="V308" s="532" t="s">
        <v>129</v>
      </c>
      <c r="W308" s="532" t="s">
        <v>478</v>
      </c>
      <c r="X308" s="845">
        <f t="shared" ca="1" si="22"/>
        <v>2.3527777777777779</v>
      </c>
      <c r="Y308" s="48">
        <v>296</v>
      </c>
    </row>
    <row r="309" spans="1:25" ht="12" customHeight="1">
      <c r="A309" s="48"/>
      <c r="B309" s="553" t="s">
        <v>47</v>
      </c>
      <c r="C309" s="379" t="s">
        <v>533</v>
      </c>
      <c r="D309" s="549" t="s">
        <v>46</v>
      </c>
      <c r="E309" s="2306">
        <f t="shared" si="20"/>
        <v>2679060505</v>
      </c>
      <c r="F309" s="3090">
        <f t="shared" si="21"/>
        <v>163.16454625318963</v>
      </c>
      <c r="G309" s="2390"/>
      <c r="H309" s="1751"/>
      <c r="I309" s="1703">
        <v>125370798</v>
      </c>
      <c r="J309" s="1687">
        <v>148235430</v>
      </c>
      <c r="K309" s="1687">
        <v>21054311</v>
      </c>
      <c r="L309" s="1687">
        <v>378931996</v>
      </c>
      <c r="M309" s="1687">
        <v>711664602</v>
      </c>
      <c r="N309" s="1687">
        <v>580629614</v>
      </c>
      <c r="O309" s="1689">
        <v>384768214</v>
      </c>
      <c r="P309" s="1687">
        <v>55628460</v>
      </c>
      <c r="Q309" s="1687">
        <v>272777080</v>
      </c>
      <c r="R309" s="365" t="s">
        <v>270</v>
      </c>
      <c r="S309" s="371" t="s">
        <v>76</v>
      </c>
      <c r="T309" s="541">
        <v>1</v>
      </c>
      <c r="U309" s="1654">
        <v>39042</v>
      </c>
      <c r="V309" s="527" t="s">
        <v>129</v>
      </c>
      <c r="W309" s="527" t="s">
        <v>534</v>
      </c>
      <c r="X309" s="844">
        <f t="shared" ca="1" si="22"/>
        <v>6.166666666666667</v>
      </c>
      <c r="Y309" s="48"/>
    </row>
    <row r="310" spans="1:25" ht="12" customHeight="1">
      <c r="A310" s="48">
        <v>298</v>
      </c>
      <c r="B310" s="1348" t="s">
        <v>1820</v>
      </c>
      <c r="C310" s="927" t="s">
        <v>1178</v>
      </c>
      <c r="D310" s="518"/>
      <c r="E310" s="2304">
        <f t="shared" si="20"/>
        <v>2577997528</v>
      </c>
      <c r="F310" s="3090">
        <f t="shared" si="21"/>
        <v>163.24395664830215</v>
      </c>
      <c r="G310" s="2391">
        <f>16+27+0+38+20+15+22+41+24</f>
        <v>203</v>
      </c>
      <c r="H310" s="1749"/>
      <c r="I310" s="1678">
        <v>106166940</v>
      </c>
      <c r="J310" s="1697">
        <v>139384034</v>
      </c>
      <c r="K310" s="1697">
        <v>20782583</v>
      </c>
      <c r="L310" s="1762">
        <v>391776056</v>
      </c>
      <c r="M310" s="1697">
        <v>591671228</v>
      </c>
      <c r="N310" s="1762">
        <v>488141632</v>
      </c>
      <c r="O310" s="1697">
        <v>454867278</v>
      </c>
      <c r="P310" s="1697">
        <v>62129895</v>
      </c>
      <c r="Q310" s="1697">
        <v>323077882</v>
      </c>
      <c r="R310" s="360" t="s">
        <v>143</v>
      </c>
      <c r="S310" s="361" t="s">
        <v>76</v>
      </c>
      <c r="T310" s="519">
        <v>1</v>
      </c>
      <c r="U310" s="1655">
        <v>40901</v>
      </c>
      <c r="V310" s="520" t="s">
        <v>89</v>
      </c>
      <c r="W310" s="520" t="s">
        <v>139</v>
      </c>
      <c r="X310" s="845">
        <f t="shared" ca="1" si="22"/>
        <v>1.075</v>
      </c>
      <c r="Y310" s="48">
        <v>298</v>
      </c>
    </row>
    <row r="311" spans="1:25" ht="12" customHeight="1">
      <c r="A311" s="48"/>
      <c r="B311" s="521" t="s">
        <v>47</v>
      </c>
      <c r="C311" s="375" t="s">
        <v>1092</v>
      </c>
      <c r="D311" s="525" t="s">
        <v>46</v>
      </c>
      <c r="E311" s="1758">
        <f t="shared" si="20"/>
        <v>2585934328</v>
      </c>
      <c r="F311" s="3090">
        <f t="shared" si="21"/>
        <v>163.38880319706092</v>
      </c>
      <c r="G311" s="2382"/>
      <c r="H311" s="1755"/>
      <c r="I311" s="1603">
        <v>105926512</v>
      </c>
      <c r="J311" s="1604">
        <v>138191843</v>
      </c>
      <c r="K311" s="1674">
        <v>21087130</v>
      </c>
      <c r="L311" s="1760">
        <v>392501125</v>
      </c>
      <c r="M311" s="1674">
        <v>592998719</v>
      </c>
      <c r="N311" s="1760">
        <v>488808013</v>
      </c>
      <c r="O311" s="1604">
        <v>456243113</v>
      </c>
      <c r="P311" s="1674">
        <v>60946631</v>
      </c>
      <c r="Q311" s="1674">
        <v>329231242</v>
      </c>
      <c r="R311" s="363" t="s">
        <v>484</v>
      </c>
      <c r="S311" s="309" t="s">
        <v>76</v>
      </c>
      <c r="T311" s="523">
        <v>1</v>
      </c>
      <c r="U311" s="1657">
        <v>34796</v>
      </c>
      <c r="V311" s="524" t="s">
        <v>82</v>
      </c>
      <c r="W311" s="524" t="s">
        <v>485</v>
      </c>
      <c r="X311" s="844">
        <f t="shared" ca="1" si="22"/>
        <v>17.788888888888888</v>
      </c>
      <c r="Y311" s="48"/>
    </row>
    <row r="312" spans="1:25" ht="12" customHeight="1">
      <c r="A312" s="48">
        <v>300</v>
      </c>
      <c r="B312" s="1349" t="s">
        <v>1820</v>
      </c>
      <c r="C312" s="370" t="s">
        <v>486</v>
      </c>
      <c r="D312" s="534"/>
      <c r="E312" s="1756">
        <f t="shared" si="20"/>
        <v>2590449080</v>
      </c>
      <c r="F312" s="3090">
        <f t="shared" si="21"/>
        <v>163.51151232725266</v>
      </c>
      <c r="G312" s="2381"/>
      <c r="H312" s="1747"/>
      <c r="I312" s="1603">
        <v>105929696</v>
      </c>
      <c r="J312" s="1674">
        <v>137053280</v>
      </c>
      <c r="K312" s="1674">
        <v>21737744</v>
      </c>
      <c r="L312" s="1674">
        <v>390847864</v>
      </c>
      <c r="M312" s="1674">
        <v>595501256</v>
      </c>
      <c r="N312" s="1674">
        <v>491679632</v>
      </c>
      <c r="O312" s="1604">
        <v>459313632</v>
      </c>
      <c r="P312" s="1674">
        <v>60288824</v>
      </c>
      <c r="Q312" s="1674">
        <v>328097152</v>
      </c>
      <c r="R312" s="368" t="s">
        <v>487</v>
      </c>
      <c r="S312" s="369" t="s">
        <v>76</v>
      </c>
      <c r="T312" s="531">
        <v>1</v>
      </c>
      <c r="U312" s="1647">
        <v>38405</v>
      </c>
      <c r="V312" s="532" t="s">
        <v>80</v>
      </c>
      <c r="W312" s="532" t="s">
        <v>138</v>
      </c>
      <c r="X312" s="845">
        <f t="shared" ca="1" si="22"/>
        <v>7.9138888888888888</v>
      </c>
      <c r="Y312" s="48">
        <v>300</v>
      </c>
    </row>
    <row r="313" spans="1:25" ht="12" customHeight="1">
      <c r="A313" s="48"/>
      <c r="B313" s="553" t="s">
        <v>47</v>
      </c>
      <c r="C313" s="373" t="s">
        <v>1188</v>
      </c>
      <c r="D313" s="549" t="s">
        <v>46</v>
      </c>
      <c r="E313" s="2306">
        <f t="shared" si="20"/>
        <v>2587551950</v>
      </c>
      <c r="F313" s="3090">
        <f t="shared" si="21"/>
        <v>163.85850305243792</v>
      </c>
      <c r="G313" s="2390"/>
      <c r="H313" s="1751"/>
      <c r="I313" s="1703">
        <v>106317005</v>
      </c>
      <c r="J313" s="1689">
        <v>138444442</v>
      </c>
      <c r="K313" s="1689">
        <v>21412803</v>
      </c>
      <c r="L313" s="1689">
        <v>392754718</v>
      </c>
      <c r="M313" s="1689">
        <v>593172508</v>
      </c>
      <c r="N313" s="1689">
        <v>488997944</v>
      </c>
      <c r="O313" s="1689">
        <v>455957138</v>
      </c>
      <c r="P313" s="1689">
        <v>61371609</v>
      </c>
      <c r="Q313" s="1689">
        <v>329123783</v>
      </c>
      <c r="R313" s="365" t="s">
        <v>484</v>
      </c>
      <c r="S313" s="371" t="s">
        <v>76</v>
      </c>
      <c r="T313" s="541">
        <v>1</v>
      </c>
      <c r="U313" s="1654">
        <v>38621</v>
      </c>
      <c r="V313" s="527" t="s">
        <v>89</v>
      </c>
      <c r="W313" s="527" t="s">
        <v>485</v>
      </c>
      <c r="X313" s="844">
        <f t="shared" ca="1" si="22"/>
        <v>7.3194444444444446</v>
      </c>
      <c r="Y313" s="48"/>
    </row>
    <row r="314" spans="1:25" ht="12" customHeight="1">
      <c r="A314" s="48">
        <v>302</v>
      </c>
      <c r="B314" s="1348" t="s">
        <v>1820</v>
      </c>
      <c r="C314" s="891" t="s">
        <v>1144</v>
      </c>
      <c r="D314" s="538"/>
      <c r="E314" s="2302">
        <f t="shared" ref="E314:E377" si="23">SUM(I314:Q314)</f>
        <v>2590353037</v>
      </c>
      <c r="F314" s="3090">
        <f t="shared" ref="F314:F377" si="24">SUM(I314/I$11,J314/J$11,K314/K$11,L314/L$11,M314/M$11,N314/N$11,O314/O$11,P314/P$11,Q314/Q$11)/9*100</f>
        <v>164.47744645282708</v>
      </c>
      <c r="G314" s="2395"/>
      <c r="H314" s="1764"/>
      <c r="I314" s="1608">
        <v>107285953</v>
      </c>
      <c r="J314" s="1612">
        <v>139691772</v>
      </c>
      <c r="K314" s="1612">
        <v>21852486</v>
      </c>
      <c r="L314" s="1612">
        <v>390991585</v>
      </c>
      <c r="M314" s="1612">
        <v>592620300</v>
      </c>
      <c r="N314" s="1612">
        <v>488729980</v>
      </c>
      <c r="O314" s="1697">
        <v>461860618</v>
      </c>
      <c r="P314" s="1612">
        <v>61467173</v>
      </c>
      <c r="Q314" s="1612">
        <v>325853170</v>
      </c>
      <c r="R314" s="372" t="s">
        <v>1143</v>
      </c>
      <c r="S314" s="305" t="s">
        <v>185</v>
      </c>
      <c r="T314" s="542">
        <v>1</v>
      </c>
      <c r="U314" s="1651">
        <v>35923</v>
      </c>
      <c r="V314" s="543" t="s">
        <v>231</v>
      </c>
      <c r="W314" s="543" t="s">
        <v>1145</v>
      </c>
      <c r="X314" s="845">
        <f t="shared" ca="1" si="22"/>
        <v>14.702777777777778</v>
      </c>
      <c r="Y314" s="48">
        <v>302</v>
      </c>
    </row>
    <row r="315" spans="1:25" ht="12" customHeight="1">
      <c r="A315" s="48"/>
      <c r="B315" s="1349" t="s">
        <v>1820</v>
      </c>
      <c r="C315" s="370" t="s">
        <v>1259</v>
      </c>
      <c r="D315" s="534"/>
      <c r="E315" s="1756">
        <f t="shared" si="23"/>
        <v>2615422006</v>
      </c>
      <c r="F315" s="3090">
        <f t="shared" si="24"/>
        <v>164.89236269608847</v>
      </c>
      <c r="G315" s="2381"/>
      <c r="H315" s="1747"/>
      <c r="I315" s="1603">
        <v>107516014</v>
      </c>
      <c r="J315" s="1674">
        <v>141049951</v>
      </c>
      <c r="K315" s="1674">
        <v>21147735</v>
      </c>
      <c r="L315" s="1674">
        <v>397704207</v>
      </c>
      <c r="M315" s="1674">
        <v>594078412</v>
      </c>
      <c r="N315" s="1674">
        <v>488116070</v>
      </c>
      <c r="O315" s="1604">
        <v>460316026</v>
      </c>
      <c r="P315" s="1674">
        <v>58030274</v>
      </c>
      <c r="Q315" s="1674">
        <v>347463317</v>
      </c>
      <c r="R315" s="368" t="s">
        <v>377</v>
      </c>
      <c r="S315" s="369" t="s">
        <v>76</v>
      </c>
      <c r="T315" s="531">
        <v>1</v>
      </c>
      <c r="U315" s="1647">
        <v>37345</v>
      </c>
      <c r="V315" s="532" t="s">
        <v>167</v>
      </c>
      <c r="W315" s="532" t="s">
        <v>139</v>
      </c>
      <c r="X315" s="844">
        <f t="shared" ref="X315:X378" ca="1" si="25">YEARFRAC(U315,X$6)</f>
        <v>10.808333333333334</v>
      </c>
      <c r="Y315" s="48"/>
    </row>
    <row r="316" spans="1:25" ht="12" customHeight="1">
      <c r="A316" s="48">
        <v>304</v>
      </c>
      <c r="B316" s="521" t="s">
        <v>47</v>
      </c>
      <c r="C316" s="362" t="s">
        <v>838</v>
      </c>
      <c r="D316" s="522"/>
      <c r="E316" s="1758">
        <f t="shared" si="23"/>
        <v>2634780723</v>
      </c>
      <c r="F316" s="3090">
        <f t="shared" si="24"/>
        <v>166.03558044911762</v>
      </c>
      <c r="G316" s="2382"/>
      <c r="H316" s="1755"/>
      <c r="I316" s="1681">
        <v>109857990</v>
      </c>
      <c r="J316" s="1604">
        <v>146235037</v>
      </c>
      <c r="K316" s="1604">
        <v>23818196</v>
      </c>
      <c r="L316" s="1604">
        <v>390375738</v>
      </c>
      <c r="M316" s="1604">
        <v>593463109</v>
      </c>
      <c r="N316" s="1604">
        <v>491652347</v>
      </c>
      <c r="O316" s="1604">
        <v>496764514</v>
      </c>
      <c r="P316" s="1604">
        <v>52423547</v>
      </c>
      <c r="Q316" s="1604">
        <v>330190245</v>
      </c>
      <c r="R316" s="363" t="s">
        <v>835</v>
      </c>
      <c r="S316" s="267" t="s">
        <v>76</v>
      </c>
      <c r="T316" s="523">
        <v>1</v>
      </c>
      <c r="U316" s="1646">
        <v>40212</v>
      </c>
      <c r="V316" s="524" t="s">
        <v>82</v>
      </c>
      <c r="W316" s="524" t="s">
        <v>410</v>
      </c>
      <c r="X316" s="845">
        <f t="shared" ca="1" si="25"/>
        <v>2.9666666666666668</v>
      </c>
      <c r="Y316" s="48">
        <v>304</v>
      </c>
    </row>
    <row r="317" spans="1:25" ht="12" customHeight="1">
      <c r="A317" s="48"/>
      <c r="B317" s="1347" t="s">
        <v>1820</v>
      </c>
      <c r="C317" s="373" t="s">
        <v>499</v>
      </c>
      <c r="D317" s="547"/>
      <c r="E317" s="2306">
        <f t="shared" si="23"/>
        <v>2641701777</v>
      </c>
      <c r="F317" s="3090">
        <f t="shared" si="24"/>
        <v>166.79994877653769</v>
      </c>
      <c r="G317" s="2390"/>
      <c r="H317" s="1751"/>
      <c r="I317" s="1702">
        <v>109613711</v>
      </c>
      <c r="J317" s="1689">
        <v>150358411</v>
      </c>
      <c r="K317" s="1689">
        <v>21085467</v>
      </c>
      <c r="L317" s="1689">
        <v>398308760</v>
      </c>
      <c r="M317" s="1689">
        <v>607533112</v>
      </c>
      <c r="N317" s="1689">
        <v>499407432</v>
      </c>
      <c r="O317" s="1689">
        <v>461389784</v>
      </c>
      <c r="P317" s="1689">
        <v>59058861</v>
      </c>
      <c r="Q317" s="1689">
        <v>334946239</v>
      </c>
      <c r="R317" s="365" t="s">
        <v>500</v>
      </c>
      <c r="S317" s="371" t="s">
        <v>76</v>
      </c>
      <c r="T317" s="541">
        <v>1</v>
      </c>
      <c r="U317" s="1654">
        <v>36180</v>
      </c>
      <c r="V317" s="527" t="s">
        <v>501</v>
      </c>
      <c r="W317" s="527" t="s">
        <v>485</v>
      </c>
      <c r="X317" s="844">
        <f t="shared" ca="1" si="25"/>
        <v>14.002777777777778</v>
      </c>
      <c r="Y317" s="48"/>
    </row>
    <row r="318" spans="1:25" ht="12" customHeight="1">
      <c r="A318" s="48">
        <v>306</v>
      </c>
      <c r="B318" s="2630" t="s">
        <v>47</v>
      </c>
      <c r="C318" s="899" t="s">
        <v>495</v>
      </c>
      <c r="D318" s="2631" t="s">
        <v>46</v>
      </c>
      <c r="E318" s="2304">
        <f t="shared" si="23"/>
        <v>2640594555</v>
      </c>
      <c r="F318" s="3090">
        <f t="shared" si="24"/>
        <v>167.01546581833969</v>
      </c>
      <c r="G318" s="2388"/>
      <c r="H318" s="1749"/>
      <c r="I318" s="1678">
        <v>107169742</v>
      </c>
      <c r="J318" s="1697">
        <v>141175944</v>
      </c>
      <c r="K318" s="1697">
        <v>21350776</v>
      </c>
      <c r="L318" s="1697">
        <v>406530100</v>
      </c>
      <c r="M318" s="1697">
        <v>593935569</v>
      </c>
      <c r="N318" s="1697">
        <v>489212932</v>
      </c>
      <c r="O318" s="1697">
        <v>465103693</v>
      </c>
      <c r="P318" s="1697">
        <v>60190459</v>
      </c>
      <c r="Q318" s="1697">
        <v>355925340</v>
      </c>
      <c r="R318" s="360" t="s">
        <v>496</v>
      </c>
      <c r="S318" s="361" t="s">
        <v>185</v>
      </c>
      <c r="T318" s="519">
        <v>1</v>
      </c>
      <c r="U318" s="1660">
        <v>33099</v>
      </c>
      <c r="V318" s="520" t="s">
        <v>138</v>
      </c>
      <c r="W318" s="520" t="s">
        <v>198</v>
      </c>
      <c r="X318" s="845">
        <f t="shared" ca="1" si="25"/>
        <v>22.43611111111111</v>
      </c>
      <c r="Y318" s="48">
        <v>306</v>
      </c>
    </row>
    <row r="319" spans="1:25" ht="12" customHeight="1">
      <c r="A319" s="48"/>
      <c r="B319" s="521" t="s">
        <v>47</v>
      </c>
      <c r="C319" s="896" t="s">
        <v>1165</v>
      </c>
      <c r="D319" s="522"/>
      <c r="E319" s="1758">
        <f t="shared" si="23"/>
        <v>2640668532</v>
      </c>
      <c r="F319" s="3090">
        <f t="shared" si="24"/>
        <v>167.04225296564775</v>
      </c>
      <c r="G319" s="2382"/>
      <c r="H319" s="1755"/>
      <c r="I319" s="1681">
        <v>107176782</v>
      </c>
      <c r="J319" s="1674">
        <v>141175944</v>
      </c>
      <c r="K319" s="1674">
        <v>21350776</v>
      </c>
      <c r="L319" s="1674">
        <v>406530100</v>
      </c>
      <c r="M319" s="1674">
        <v>593934937</v>
      </c>
      <c r="N319" s="1674">
        <v>489212932</v>
      </c>
      <c r="O319" s="1604">
        <v>465102891</v>
      </c>
      <c r="P319" s="1674">
        <v>60263688</v>
      </c>
      <c r="Q319" s="1674">
        <v>355920482</v>
      </c>
      <c r="R319" s="363" t="s">
        <v>1164</v>
      </c>
      <c r="S319" s="309" t="s">
        <v>185</v>
      </c>
      <c r="T319" s="523">
        <v>1</v>
      </c>
      <c r="U319" s="1646">
        <v>34034</v>
      </c>
      <c r="V319" s="524" t="s">
        <v>89</v>
      </c>
      <c r="W319" s="524" t="s">
        <v>663</v>
      </c>
      <c r="X319" s="844">
        <f t="shared" ca="1" si="25"/>
        <v>19.875</v>
      </c>
      <c r="Y319" s="48"/>
    </row>
    <row r="320" spans="1:25" ht="12" customHeight="1">
      <c r="A320" s="48">
        <v>308</v>
      </c>
      <c r="B320" s="521" t="s">
        <v>47</v>
      </c>
      <c r="C320" s="896" t="s">
        <v>1103</v>
      </c>
      <c r="D320" s="525"/>
      <c r="E320" s="1758">
        <f t="shared" si="23"/>
        <v>2640756095</v>
      </c>
      <c r="F320" s="3090">
        <f t="shared" si="24"/>
        <v>167.06899173573441</v>
      </c>
      <c r="G320" s="2382"/>
      <c r="H320" s="1755"/>
      <c r="I320" s="1681">
        <v>107195310</v>
      </c>
      <c r="J320" s="1604">
        <v>141316303</v>
      </c>
      <c r="K320" s="1604">
        <v>21350769</v>
      </c>
      <c r="L320" s="1604">
        <v>406607520</v>
      </c>
      <c r="M320" s="1604">
        <v>593751699</v>
      </c>
      <c r="N320" s="1604">
        <v>489212932</v>
      </c>
      <c r="O320" s="1604">
        <v>465135014</v>
      </c>
      <c r="P320" s="1604">
        <v>60263688</v>
      </c>
      <c r="Q320" s="1604">
        <v>355922860</v>
      </c>
      <c r="R320" s="363" t="s">
        <v>171</v>
      </c>
      <c r="S320" s="309" t="s">
        <v>185</v>
      </c>
      <c r="T320" s="523">
        <v>1</v>
      </c>
      <c r="U320" s="1646">
        <v>35065</v>
      </c>
      <c r="V320" s="524" t="s">
        <v>89</v>
      </c>
      <c r="W320" s="524" t="s">
        <v>1149</v>
      </c>
      <c r="X320" s="845">
        <f t="shared" ca="1" si="25"/>
        <v>17.055555555555557</v>
      </c>
      <c r="Y320" s="48">
        <v>308</v>
      </c>
    </row>
    <row r="321" spans="1:25" ht="12" customHeight="1">
      <c r="A321" s="48"/>
      <c r="B321" s="539" t="s">
        <v>47</v>
      </c>
      <c r="C321" s="910" t="s">
        <v>431</v>
      </c>
      <c r="D321" s="547"/>
      <c r="E321" s="2303">
        <f t="shared" si="23"/>
        <v>2555942142</v>
      </c>
      <c r="F321" s="3090">
        <f t="shared" si="24"/>
        <v>167.4285352026792</v>
      </c>
      <c r="G321" s="2390"/>
      <c r="H321" s="1751"/>
      <c r="I321" s="1702">
        <v>118569595</v>
      </c>
      <c r="J321" s="1689">
        <v>147758757</v>
      </c>
      <c r="K321" s="1689">
        <v>18431155</v>
      </c>
      <c r="L321" s="1689">
        <v>398333387</v>
      </c>
      <c r="M321" s="1689">
        <v>601186782</v>
      </c>
      <c r="N321" s="1689">
        <v>491375033</v>
      </c>
      <c r="O321" s="1689">
        <v>346142035</v>
      </c>
      <c r="P321" s="1689">
        <v>73237530</v>
      </c>
      <c r="Q321" s="1689">
        <v>360907868</v>
      </c>
      <c r="R321" s="365" t="s">
        <v>364</v>
      </c>
      <c r="S321" s="371" t="s">
        <v>76</v>
      </c>
      <c r="T321" s="541">
        <v>1</v>
      </c>
      <c r="U321" s="1654">
        <v>39600</v>
      </c>
      <c r="V321" s="527" t="s">
        <v>82</v>
      </c>
      <c r="W321" s="527" t="s">
        <v>365</v>
      </c>
      <c r="X321" s="844">
        <f t="shared" ca="1" si="25"/>
        <v>4.6388888888888893</v>
      </c>
      <c r="Y321" s="48"/>
    </row>
    <row r="322" spans="1:25" ht="12" customHeight="1">
      <c r="A322" s="48">
        <v>310</v>
      </c>
      <c r="B322" s="1348" t="s">
        <v>1820</v>
      </c>
      <c r="C322" s="886" t="s">
        <v>523</v>
      </c>
      <c r="D322" s="518"/>
      <c r="E322" s="2304">
        <f t="shared" si="23"/>
        <v>2639245036</v>
      </c>
      <c r="F322" s="3090">
        <f t="shared" si="24"/>
        <v>167.92835051058489</v>
      </c>
      <c r="G322" s="2388"/>
      <c r="H322" s="1749"/>
      <c r="I322" s="1612">
        <v>111178909</v>
      </c>
      <c r="J322" s="1612">
        <v>139030874</v>
      </c>
      <c r="K322" s="1612">
        <v>25761204</v>
      </c>
      <c r="L322" s="1612">
        <v>415305156</v>
      </c>
      <c r="M322" s="1612">
        <v>609160704</v>
      </c>
      <c r="N322" s="1612">
        <v>492148736</v>
      </c>
      <c r="O322" s="1697">
        <v>460754751</v>
      </c>
      <c r="P322" s="1612">
        <v>57830591</v>
      </c>
      <c r="Q322" s="1612">
        <v>328074111</v>
      </c>
      <c r="R322" s="360" t="s">
        <v>524</v>
      </c>
      <c r="S322" s="361" t="s">
        <v>185</v>
      </c>
      <c r="T322" s="519">
        <v>1</v>
      </c>
      <c r="U322" s="1653">
        <v>37425</v>
      </c>
      <c r="V322" s="520" t="s">
        <v>224</v>
      </c>
      <c r="W322" s="520" t="s">
        <v>139</v>
      </c>
      <c r="X322" s="845">
        <f t="shared" ca="1" si="25"/>
        <v>10.591666666666667</v>
      </c>
      <c r="Y322" s="48">
        <v>310</v>
      </c>
    </row>
    <row r="323" spans="1:25" ht="12" customHeight="1">
      <c r="A323" s="48"/>
      <c r="B323" s="533" t="s">
        <v>47</v>
      </c>
      <c r="C323" s="896" t="s">
        <v>1101</v>
      </c>
      <c r="D323" s="525"/>
      <c r="E323" s="1758">
        <f t="shared" si="23"/>
        <v>2643432312</v>
      </c>
      <c r="F323" s="3090">
        <f t="shared" si="24"/>
        <v>168.03283030557554</v>
      </c>
      <c r="G323" s="2387"/>
      <c r="H323" s="1755"/>
      <c r="I323" s="1681">
        <v>107788791</v>
      </c>
      <c r="J323" s="1674">
        <v>141176247</v>
      </c>
      <c r="K323" s="1604">
        <v>21351079</v>
      </c>
      <c r="L323" s="1604">
        <v>406608729</v>
      </c>
      <c r="M323" s="1604">
        <v>593710796</v>
      </c>
      <c r="N323" s="1604">
        <v>488994035</v>
      </c>
      <c r="O323" s="1604">
        <v>465094090</v>
      </c>
      <c r="P323" s="1604">
        <v>62785292</v>
      </c>
      <c r="Q323" s="1674">
        <v>355923253</v>
      </c>
      <c r="R323" s="363" t="s">
        <v>1102</v>
      </c>
      <c r="S323" s="309" t="s">
        <v>185</v>
      </c>
      <c r="T323" s="523">
        <v>1</v>
      </c>
      <c r="U323" s="1646">
        <v>34617</v>
      </c>
      <c r="V323" s="524" t="s">
        <v>89</v>
      </c>
      <c r="W323" s="524" t="s">
        <v>410</v>
      </c>
      <c r="X323" s="844">
        <f t="shared" ca="1" si="25"/>
        <v>18.280555555555555</v>
      </c>
      <c r="Y323" s="48"/>
    </row>
    <row r="324" spans="1:25" ht="12" customHeight="1">
      <c r="A324" s="48">
        <v>312</v>
      </c>
      <c r="B324" s="1349" t="s">
        <v>1820</v>
      </c>
      <c r="C324" s="370" t="s">
        <v>493</v>
      </c>
      <c r="D324" s="534"/>
      <c r="E324" s="1756">
        <f t="shared" si="23"/>
        <v>2634533662</v>
      </c>
      <c r="F324" s="3090">
        <f t="shared" si="24"/>
        <v>168.08123173273734</v>
      </c>
      <c r="G324" s="2381"/>
      <c r="H324" s="1747"/>
      <c r="I324" s="1603">
        <v>106411519</v>
      </c>
      <c r="J324" s="1674">
        <v>144816426</v>
      </c>
      <c r="K324" s="1674">
        <v>24769118</v>
      </c>
      <c r="L324" s="1674">
        <v>394229250</v>
      </c>
      <c r="M324" s="1674">
        <v>593045668</v>
      </c>
      <c r="N324" s="1674">
        <v>489325203</v>
      </c>
      <c r="O324" s="1604">
        <v>480335560</v>
      </c>
      <c r="P324" s="1674">
        <v>57622209</v>
      </c>
      <c r="Q324" s="1674">
        <v>343978709</v>
      </c>
      <c r="R324" s="368" t="s">
        <v>494</v>
      </c>
      <c r="S324" s="369" t="s">
        <v>76</v>
      </c>
      <c r="T324" s="531">
        <v>1</v>
      </c>
      <c r="U324" s="1647">
        <v>38169</v>
      </c>
      <c r="V324" s="532" t="s">
        <v>89</v>
      </c>
      <c r="W324" s="532" t="s">
        <v>139</v>
      </c>
      <c r="X324" s="845">
        <f t="shared" ca="1" si="25"/>
        <v>8.5555555555555554</v>
      </c>
      <c r="Y324" s="48">
        <v>312</v>
      </c>
    </row>
    <row r="325" spans="1:25" ht="12" customHeight="1">
      <c r="A325" s="48"/>
      <c r="B325" s="539" t="s">
        <v>47</v>
      </c>
      <c r="C325" s="359" t="s">
        <v>336</v>
      </c>
      <c r="D325" s="547"/>
      <c r="E325" s="2303">
        <f t="shared" si="23"/>
        <v>2292023359</v>
      </c>
      <c r="F325" s="3090">
        <f t="shared" si="24"/>
        <v>167.58440125004554</v>
      </c>
      <c r="G325" s="2390"/>
      <c r="H325" s="1751"/>
      <c r="I325" s="1703">
        <v>95937995</v>
      </c>
      <c r="J325" s="1687">
        <v>108202032</v>
      </c>
      <c r="K325" s="1687">
        <v>73370264</v>
      </c>
      <c r="L325" s="1687">
        <v>318266371</v>
      </c>
      <c r="M325" s="1687">
        <v>586462954</v>
      </c>
      <c r="N325" s="1687">
        <v>485444737</v>
      </c>
      <c r="O325" s="1689">
        <v>370821320</v>
      </c>
      <c r="P325" s="1687">
        <v>38854482</v>
      </c>
      <c r="Q325" s="1687">
        <v>214663204</v>
      </c>
      <c r="R325" s="365" t="s">
        <v>337</v>
      </c>
      <c r="S325" s="371" t="s">
        <v>76</v>
      </c>
      <c r="T325" s="541">
        <v>1</v>
      </c>
      <c r="U325" s="1656">
        <v>37478</v>
      </c>
      <c r="V325" s="527" t="s">
        <v>82</v>
      </c>
      <c r="W325" s="527" t="s">
        <v>188</v>
      </c>
      <c r="X325" s="844">
        <f t="shared" ca="1" si="25"/>
        <v>10.447222222222223</v>
      </c>
      <c r="Y325" s="48"/>
    </row>
    <row r="326" spans="1:25" ht="12" customHeight="1">
      <c r="A326" s="48">
        <v>314</v>
      </c>
      <c r="B326" s="1348" t="s">
        <v>1820</v>
      </c>
      <c r="C326" s="366" t="s">
        <v>510</v>
      </c>
      <c r="D326" s="518"/>
      <c r="E326" s="2304">
        <f t="shared" si="23"/>
        <v>2765569493</v>
      </c>
      <c r="F326" s="3090">
        <f t="shared" si="24"/>
        <v>169.83441741698516</v>
      </c>
      <c r="G326" s="2388"/>
      <c r="H326" s="1749"/>
      <c r="I326" s="1608">
        <v>112761828</v>
      </c>
      <c r="J326" s="1612">
        <v>135623701</v>
      </c>
      <c r="K326" s="1612">
        <v>23516951</v>
      </c>
      <c r="L326" s="1612">
        <v>540018812</v>
      </c>
      <c r="M326" s="1612">
        <v>591835044</v>
      </c>
      <c r="N326" s="1612">
        <v>489444776</v>
      </c>
      <c r="O326" s="1697">
        <v>508817311</v>
      </c>
      <c r="P326" s="1612">
        <v>51177473</v>
      </c>
      <c r="Q326" s="1612">
        <v>312373597</v>
      </c>
      <c r="R326" s="360" t="s">
        <v>511</v>
      </c>
      <c r="S326" s="361" t="s">
        <v>76</v>
      </c>
      <c r="T326" s="519">
        <v>1</v>
      </c>
      <c r="U326" s="1653">
        <v>36489</v>
      </c>
      <c r="V326" s="520" t="s">
        <v>167</v>
      </c>
      <c r="W326" s="520" t="s">
        <v>512</v>
      </c>
      <c r="X326" s="845">
        <f t="shared" ca="1" si="25"/>
        <v>13.155555555555555</v>
      </c>
      <c r="Y326" s="48">
        <v>314</v>
      </c>
    </row>
    <row r="327" spans="1:25" ht="12" customHeight="1">
      <c r="A327" s="48"/>
      <c r="B327" s="559" t="s">
        <v>47</v>
      </c>
      <c r="C327" s="364" t="s">
        <v>825</v>
      </c>
      <c r="D327" s="522"/>
      <c r="E327" s="1758">
        <f t="shared" si="23"/>
        <v>2823820511</v>
      </c>
      <c r="F327" s="3090">
        <f t="shared" si="24"/>
        <v>170.23660380605418</v>
      </c>
      <c r="G327" s="2506"/>
      <c r="H327" s="1765"/>
      <c r="I327" s="1603">
        <v>99831084</v>
      </c>
      <c r="J327" s="1604">
        <v>140228194</v>
      </c>
      <c r="K327" s="1674">
        <v>21424197</v>
      </c>
      <c r="L327" s="1674">
        <v>709240453</v>
      </c>
      <c r="M327" s="1674">
        <v>593365180</v>
      </c>
      <c r="N327" s="1674">
        <v>488342365</v>
      </c>
      <c r="O327" s="1604">
        <v>409062096</v>
      </c>
      <c r="P327" s="1604">
        <v>52762560</v>
      </c>
      <c r="Q327" s="1674">
        <v>309564382</v>
      </c>
      <c r="R327" s="363" t="s">
        <v>816</v>
      </c>
      <c r="S327" s="309" t="s">
        <v>76</v>
      </c>
      <c r="T327" s="523">
        <v>1</v>
      </c>
      <c r="U327" s="1646">
        <v>35657</v>
      </c>
      <c r="V327" s="524" t="s">
        <v>89</v>
      </c>
      <c r="W327" s="524" t="s">
        <v>174</v>
      </c>
      <c r="X327" s="844">
        <f t="shared" ca="1" si="25"/>
        <v>15.433333333333334</v>
      </c>
      <c r="Y327" s="48"/>
    </row>
    <row r="328" spans="1:25" ht="12" customHeight="1">
      <c r="A328" s="48">
        <v>316</v>
      </c>
      <c r="B328" s="554" t="s">
        <v>47</v>
      </c>
      <c r="C328" s="364" t="s">
        <v>936</v>
      </c>
      <c r="D328" s="522"/>
      <c r="E328" s="1770">
        <f t="shared" si="23"/>
        <v>2506532066</v>
      </c>
      <c r="F328" s="3090">
        <f t="shared" si="24"/>
        <v>170.33194115406616</v>
      </c>
      <c r="G328" s="2392">
        <f>427+278+0+1045+1748+474+246+358+562</f>
        <v>5138</v>
      </c>
      <c r="H328" s="1676"/>
      <c r="I328" s="1681">
        <v>133819725</v>
      </c>
      <c r="J328" s="1604">
        <v>170527925</v>
      </c>
      <c r="K328" s="1604">
        <v>18054489</v>
      </c>
      <c r="L328" s="1604">
        <v>384791449</v>
      </c>
      <c r="M328" s="1604">
        <v>603835601</v>
      </c>
      <c r="N328" s="1604">
        <v>492148780</v>
      </c>
      <c r="O328" s="1604">
        <v>286326525</v>
      </c>
      <c r="P328" s="1604">
        <v>78501320</v>
      </c>
      <c r="Q328" s="1604">
        <v>338526252</v>
      </c>
      <c r="R328" s="363" t="s">
        <v>927</v>
      </c>
      <c r="S328" s="309" t="s">
        <v>76</v>
      </c>
      <c r="T328" s="523">
        <v>1</v>
      </c>
      <c r="U328" s="1646">
        <v>40976</v>
      </c>
      <c r="V328" s="524" t="s">
        <v>84</v>
      </c>
      <c r="W328" s="524" t="s">
        <v>1270</v>
      </c>
      <c r="X328" s="845">
        <f t="shared" ca="1" si="25"/>
        <v>0.86944444444444446</v>
      </c>
      <c r="Y328" s="48">
        <v>316</v>
      </c>
    </row>
    <row r="329" spans="1:25" ht="12" customHeight="1">
      <c r="A329" s="48"/>
      <c r="B329" s="553" t="s">
        <v>47</v>
      </c>
      <c r="C329" s="885" t="s">
        <v>497</v>
      </c>
      <c r="D329" s="547"/>
      <c r="E329" s="2306">
        <f t="shared" si="23"/>
        <v>2660008558</v>
      </c>
      <c r="F329" s="3090">
        <f t="shared" si="24"/>
        <v>170.69735876172993</v>
      </c>
      <c r="G329" s="2390"/>
      <c r="H329" s="1751"/>
      <c r="I329" s="1703">
        <v>127805369</v>
      </c>
      <c r="J329" s="1687">
        <v>141175944</v>
      </c>
      <c r="K329" s="1687">
        <v>21355984</v>
      </c>
      <c r="L329" s="1687">
        <v>406037900</v>
      </c>
      <c r="M329" s="1687">
        <v>593728247</v>
      </c>
      <c r="N329" s="1687">
        <v>489212932</v>
      </c>
      <c r="O329" s="1689">
        <v>464548511</v>
      </c>
      <c r="P329" s="1687">
        <v>61347921</v>
      </c>
      <c r="Q329" s="1687">
        <v>354795750</v>
      </c>
      <c r="R329" s="365" t="s">
        <v>440</v>
      </c>
      <c r="S329" s="371" t="s">
        <v>185</v>
      </c>
      <c r="T329" s="541">
        <v>1</v>
      </c>
      <c r="U329" s="1654">
        <v>33923</v>
      </c>
      <c r="V329" s="527" t="s">
        <v>167</v>
      </c>
      <c r="W329" s="527" t="s">
        <v>498</v>
      </c>
      <c r="X329" s="846">
        <f t="shared" ca="1" si="25"/>
        <v>20.183333333333334</v>
      </c>
      <c r="Y329" s="48"/>
    </row>
    <row r="330" spans="1:25" ht="12" customHeight="1">
      <c r="A330" s="48">
        <v>318</v>
      </c>
      <c r="B330" s="544" t="s">
        <v>47</v>
      </c>
      <c r="C330" s="377" t="s">
        <v>95</v>
      </c>
      <c r="D330" s="538"/>
      <c r="E330" s="2302">
        <f t="shared" si="23"/>
        <v>2133925689</v>
      </c>
      <c r="F330" s="3090">
        <f t="shared" si="24"/>
        <v>169.73590150810261</v>
      </c>
      <c r="G330" s="2395"/>
      <c r="H330" s="1764"/>
      <c r="I330" s="1678">
        <v>73920168</v>
      </c>
      <c r="J330" s="1697">
        <v>83975092</v>
      </c>
      <c r="K330" s="1697">
        <v>17229129</v>
      </c>
      <c r="L330" s="1697">
        <v>254201733</v>
      </c>
      <c r="M330" s="1697">
        <v>576478333</v>
      </c>
      <c r="N330" s="1697">
        <v>459768447</v>
      </c>
      <c r="O330" s="1697">
        <v>307884193</v>
      </c>
      <c r="P330" s="1697">
        <v>200001497</v>
      </c>
      <c r="Q330" s="1697">
        <v>160467097</v>
      </c>
      <c r="R330" s="372" t="s">
        <v>96</v>
      </c>
      <c r="S330" s="305" t="s">
        <v>76</v>
      </c>
      <c r="T330" s="542">
        <v>1</v>
      </c>
      <c r="U330" s="1651">
        <v>39314</v>
      </c>
      <c r="V330" s="543" t="s">
        <v>97</v>
      </c>
      <c r="W330" s="543" t="s">
        <v>1197</v>
      </c>
      <c r="X330" s="845">
        <f t="shared" ca="1" si="25"/>
        <v>5.4194444444444443</v>
      </c>
      <c r="Y330" s="48">
        <v>318</v>
      </c>
    </row>
    <row r="331" spans="1:25" ht="12" customHeight="1">
      <c r="A331" s="48"/>
      <c r="B331" s="533" t="s">
        <v>47</v>
      </c>
      <c r="C331" s="884" t="s">
        <v>513</v>
      </c>
      <c r="D331" s="540"/>
      <c r="E331" s="1756">
        <f t="shared" si="23"/>
        <v>2684221560</v>
      </c>
      <c r="F331" s="3090">
        <f t="shared" si="24"/>
        <v>171.28290102390608</v>
      </c>
      <c r="G331" s="2381"/>
      <c r="H331" s="1747"/>
      <c r="I331" s="1681">
        <v>109094723</v>
      </c>
      <c r="J331" s="1604">
        <v>145029016</v>
      </c>
      <c r="K331" s="1604">
        <v>21636388</v>
      </c>
      <c r="L331" s="1604">
        <v>416552857</v>
      </c>
      <c r="M331" s="1604">
        <v>594359538</v>
      </c>
      <c r="N331" s="1604">
        <v>489331750</v>
      </c>
      <c r="O331" s="1604">
        <v>469264594</v>
      </c>
      <c r="P331" s="1604">
        <v>63034639</v>
      </c>
      <c r="Q331" s="1604">
        <v>375918055</v>
      </c>
      <c r="R331" s="368" t="s">
        <v>514</v>
      </c>
      <c r="S331" s="369" t="s">
        <v>185</v>
      </c>
      <c r="T331" s="531">
        <v>1</v>
      </c>
      <c r="U331" s="1647">
        <v>35537</v>
      </c>
      <c r="V331" s="532" t="s">
        <v>89</v>
      </c>
      <c r="W331" s="532" t="s">
        <v>476</v>
      </c>
      <c r="X331" s="844">
        <f t="shared" ca="1" si="25"/>
        <v>15.761111111111111</v>
      </c>
      <c r="Y331" s="48"/>
    </row>
    <row r="332" spans="1:25" ht="12" customHeight="1">
      <c r="A332" s="48">
        <v>320</v>
      </c>
      <c r="B332" s="533" t="s">
        <v>47</v>
      </c>
      <c r="C332" s="884" t="s">
        <v>549</v>
      </c>
      <c r="D332" s="529"/>
      <c r="E332" s="1756">
        <f t="shared" si="23"/>
        <v>2725846549</v>
      </c>
      <c r="F332" s="3090">
        <f t="shared" si="24"/>
        <v>172.28665254942607</v>
      </c>
      <c r="G332" s="2381"/>
      <c r="H332" s="1747"/>
      <c r="I332" s="1603">
        <v>113542642</v>
      </c>
      <c r="J332" s="1674">
        <v>146286570</v>
      </c>
      <c r="K332" s="1674">
        <v>20768941</v>
      </c>
      <c r="L332" s="1674">
        <v>420478460</v>
      </c>
      <c r="M332" s="1674">
        <v>609160731</v>
      </c>
      <c r="N332" s="1674">
        <v>492148768</v>
      </c>
      <c r="O332" s="1604">
        <v>491886634</v>
      </c>
      <c r="P332" s="1674">
        <v>61510034</v>
      </c>
      <c r="Q332" s="1674">
        <v>370063769</v>
      </c>
      <c r="R332" s="368" t="s">
        <v>550</v>
      </c>
      <c r="S332" s="369" t="s">
        <v>185</v>
      </c>
      <c r="T332" s="531">
        <v>1</v>
      </c>
      <c r="U332" s="1647">
        <v>33742</v>
      </c>
      <c r="V332" s="532" t="s">
        <v>84</v>
      </c>
      <c r="W332" s="532" t="s">
        <v>551</v>
      </c>
      <c r="X332" s="845">
        <f t="shared" ca="1" si="25"/>
        <v>20.675000000000001</v>
      </c>
      <c r="Y332" s="48">
        <v>320</v>
      </c>
    </row>
    <row r="333" spans="1:25" ht="12" customHeight="1">
      <c r="A333" s="48"/>
      <c r="B333" s="553" t="s">
        <v>47</v>
      </c>
      <c r="C333" s="373" t="s">
        <v>489</v>
      </c>
      <c r="D333" s="534"/>
      <c r="E333" s="2306">
        <f t="shared" si="23"/>
        <v>2477211796</v>
      </c>
      <c r="F333" s="3090">
        <f t="shared" si="24"/>
        <v>172.00141527761718</v>
      </c>
      <c r="G333" s="2390"/>
      <c r="H333" s="1751"/>
      <c r="I333" s="1703">
        <v>132708149</v>
      </c>
      <c r="J333" s="1687">
        <v>144284594</v>
      </c>
      <c r="K333" s="1687">
        <v>19583043</v>
      </c>
      <c r="L333" s="1687">
        <v>370258512</v>
      </c>
      <c r="M333" s="1687">
        <v>595474877</v>
      </c>
      <c r="N333" s="1687">
        <v>487759649</v>
      </c>
      <c r="O333" s="1689">
        <v>366471098</v>
      </c>
      <c r="P333" s="1687">
        <v>101690845</v>
      </c>
      <c r="Q333" s="1687">
        <v>258981029</v>
      </c>
      <c r="R333" s="365" t="s">
        <v>490</v>
      </c>
      <c r="S333" s="371" t="s">
        <v>491</v>
      </c>
      <c r="T333" s="541">
        <v>1</v>
      </c>
      <c r="U333" s="1654">
        <v>38085</v>
      </c>
      <c r="V333" s="527" t="s">
        <v>89</v>
      </c>
      <c r="W333" s="527" t="s">
        <v>492</v>
      </c>
      <c r="X333" s="844">
        <f t="shared" ca="1" si="25"/>
        <v>8.7861111111111114</v>
      </c>
      <c r="Y333" s="48"/>
    </row>
    <row r="334" spans="1:25" ht="12" customHeight="1">
      <c r="A334" s="48">
        <v>322</v>
      </c>
      <c r="B334" s="528" t="s">
        <v>47</v>
      </c>
      <c r="C334" s="1457" t="s">
        <v>455</v>
      </c>
      <c r="D334" s="552" t="s">
        <v>46</v>
      </c>
      <c r="E334" s="2305">
        <f t="shared" si="23"/>
        <v>2602336628</v>
      </c>
      <c r="F334" s="3090">
        <f t="shared" si="24"/>
        <v>172.54128371666889</v>
      </c>
      <c r="G334" s="2388"/>
      <c r="H334" s="1749"/>
      <c r="I334" s="1608">
        <v>120475895</v>
      </c>
      <c r="J334" s="1612">
        <v>151223772</v>
      </c>
      <c r="K334" s="1612">
        <v>18203577</v>
      </c>
      <c r="L334" s="1612">
        <v>413024029</v>
      </c>
      <c r="M334" s="1612">
        <v>595440304</v>
      </c>
      <c r="N334" s="1612">
        <v>487096394</v>
      </c>
      <c r="O334" s="1697">
        <v>353864455</v>
      </c>
      <c r="P334" s="1612">
        <v>78503478</v>
      </c>
      <c r="Q334" s="1612">
        <v>384504724</v>
      </c>
      <c r="R334" s="360" t="s">
        <v>456</v>
      </c>
      <c r="S334" s="361" t="s">
        <v>76</v>
      </c>
      <c r="T334" s="519">
        <v>1</v>
      </c>
      <c r="U334" s="1653">
        <v>39597</v>
      </c>
      <c r="V334" s="520" t="s">
        <v>84</v>
      </c>
      <c r="W334" s="520" t="s">
        <v>457</v>
      </c>
      <c r="X334" s="845">
        <f t="shared" ca="1" si="25"/>
        <v>4.6444444444444448</v>
      </c>
      <c r="Y334" s="48">
        <v>322</v>
      </c>
    </row>
    <row r="335" spans="1:25" ht="12" customHeight="1">
      <c r="A335" s="48"/>
      <c r="B335" s="1349" t="s">
        <v>1820</v>
      </c>
      <c r="C335" s="378" t="s">
        <v>460</v>
      </c>
      <c r="D335" s="534"/>
      <c r="E335" s="1756">
        <f t="shared" si="23"/>
        <v>2883069799</v>
      </c>
      <c r="F335" s="3090">
        <f t="shared" si="24"/>
        <v>173.5896351999636</v>
      </c>
      <c r="G335" s="2381"/>
      <c r="H335" s="1747"/>
      <c r="I335" s="1603">
        <v>104724669</v>
      </c>
      <c r="J335" s="1674">
        <v>134282034</v>
      </c>
      <c r="K335" s="1674">
        <v>20790798</v>
      </c>
      <c r="L335" s="1674">
        <v>709240453</v>
      </c>
      <c r="M335" s="1674">
        <v>591745271</v>
      </c>
      <c r="N335" s="1674">
        <v>488458850</v>
      </c>
      <c r="O335" s="1604">
        <v>455515770</v>
      </c>
      <c r="P335" s="1674">
        <v>55027600</v>
      </c>
      <c r="Q335" s="1674">
        <v>323284354</v>
      </c>
      <c r="R335" s="368" t="s">
        <v>461</v>
      </c>
      <c r="S335" s="369" t="s">
        <v>76</v>
      </c>
      <c r="T335" s="531">
        <v>1</v>
      </c>
      <c r="U335" s="1647">
        <v>37530</v>
      </c>
      <c r="V335" s="532" t="s">
        <v>138</v>
      </c>
      <c r="W335" s="532" t="s">
        <v>462</v>
      </c>
      <c r="X335" s="844">
        <f t="shared" ca="1" si="25"/>
        <v>10.305555555555555</v>
      </c>
      <c r="Y335" s="48"/>
    </row>
    <row r="336" spans="1:25" ht="12" customHeight="1">
      <c r="A336" s="48">
        <v>324</v>
      </c>
      <c r="B336" s="1349" t="s">
        <v>1820</v>
      </c>
      <c r="C336" s="378" t="s">
        <v>515</v>
      </c>
      <c r="D336" s="534"/>
      <c r="E336" s="1756">
        <f t="shared" si="23"/>
        <v>2724313234</v>
      </c>
      <c r="F336" s="3090">
        <f t="shared" si="24"/>
        <v>173.60174968920862</v>
      </c>
      <c r="G336" s="2381"/>
      <c r="H336" s="1747"/>
      <c r="I336" s="1603">
        <v>127230674</v>
      </c>
      <c r="J336" s="1674">
        <v>138604952</v>
      </c>
      <c r="K336" s="1674">
        <v>20790759</v>
      </c>
      <c r="L336" s="1760">
        <v>393187823</v>
      </c>
      <c r="M336" s="1674">
        <v>594009823</v>
      </c>
      <c r="N336" s="1760">
        <v>488500774</v>
      </c>
      <c r="O336" s="1604">
        <v>543332087</v>
      </c>
      <c r="P336" s="1674">
        <v>63297836</v>
      </c>
      <c r="Q336" s="1674">
        <v>355358506</v>
      </c>
      <c r="R336" s="368" t="s">
        <v>516</v>
      </c>
      <c r="S336" s="369" t="s">
        <v>76</v>
      </c>
      <c r="T336" s="531">
        <v>1</v>
      </c>
      <c r="U336" s="1650">
        <v>37411</v>
      </c>
      <c r="V336" s="532" t="s">
        <v>138</v>
      </c>
      <c r="W336" s="532" t="s">
        <v>138</v>
      </c>
      <c r="X336" s="845">
        <f t="shared" ca="1" si="25"/>
        <v>10.630555555555556</v>
      </c>
      <c r="Y336" s="48">
        <v>324</v>
      </c>
    </row>
    <row r="337" spans="1:25" ht="12" customHeight="1">
      <c r="A337" s="48"/>
      <c r="B337" s="556" t="s">
        <v>47</v>
      </c>
      <c r="C337" s="1460" t="s">
        <v>542</v>
      </c>
      <c r="D337" s="906"/>
      <c r="E337" s="2311">
        <f t="shared" si="23"/>
        <v>2804868757</v>
      </c>
      <c r="F337" s="3090">
        <f t="shared" si="24"/>
        <v>174.44946364547954</v>
      </c>
      <c r="G337" s="2387"/>
      <c r="H337" s="1748"/>
      <c r="I337" s="1703">
        <v>117379058</v>
      </c>
      <c r="J337" s="1687">
        <v>151778634</v>
      </c>
      <c r="K337" s="1687">
        <v>23965390</v>
      </c>
      <c r="L337" s="1687">
        <v>411579302</v>
      </c>
      <c r="M337" s="1687">
        <v>661650020</v>
      </c>
      <c r="N337" s="1687">
        <v>544935432</v>
      </c>
      <c r="O337" s="1689">
        <v>505211412</v>
      </c>
      <c r="P337" s="1687">
        <v>58081318</v>
      </c>
      <c r="Q337" s="1687">
        <v>330288191</v>
      </c>
      <c r="R337" s="907" t="s">
        <v>543</v>
      </c>
      <c r="S337" s="1478" t="s">
        <v>76</v>
      </c>
      <c r="T337" s="1484">
        <v>1</v>
      </c>
      <c r="U337" s="1658">
        <v>39660</v>
      </c>
      <c r="V337" s="909" t="s">
        <v>82</v>
      </c>
      <c r="W337" s="909" t="s">
        <v>544</v>
      </c>
      <c r="X337" s="844">
        <f t="shared" ca="1" si="25"/>
        <v>4.4749999999999996</v>
      </c>
      <c r="Y337" s="48"/>
    </row>
    <row r="338" spans="1:25" ht="12" customHeight="1">
      <c r="A338" s="48">
        <v>326</v>
      </c>
      <c r="B338" s="1445" t="s">
        <v>1820</v>
      </c>
      <c r="C338" s="1458" t="s">
        <v>912</v>
      </c>
      <c r="D338" s="2481"/>
      <c r="E338" s="2302">
        <f t="shared" si="23"/>
        <v>2734282889</v>
      </c>
      <c r="F338" s="3090">
        <f t="shared" si="24"/>
        <v>174.40192653968359</v>
      </c>
      <c r="G338" s="2385">
        <f>26+10+0+12+10+13+80+46+17</f>
        <v>214</v>
      </c>
      <c r="H338" s="1752"/>
      <c r="I338" s="1608">
        <v>114851049</v>
      </c>
      <c r="J338" s="1612">
        <v>142313725</v>
      </c>
      <c r="K338" s="1612">
        <v>26000187</v>
      </c>
      <c r="L338" s="1612">
        <v>419179550</v>
      </c>
      <c r="M338" s="1612">
        <v>592168980</v>
      </c>
      <c r="N338" s="1612">
        <v>497103228</v>
      </c>
      <c r="O338" s="1697">
        <v>525440952</v>
      </c>
      <c r="P338" s="1612">
        <v>57713283</v>
      </c>
      <c r="Q338" s="1612">
        <v>359511935</v>
      </c>
      <c r="R338" s="1474" t="s">
        <v>911</v>
      </c>
      <c r="S338" s="1479" t="s">
        <v>76</v>
      </c>
      <c r="T338" s="1485">
        <v>2</v>
      </c>
      <c r="U338" s="1659">
        <v>39665</v>
      </c>
      <c r="V338" s="1488" t="s">
        <v>82</v>
      </c>
      <c r="W338" s="1488" t="s">
        <v>472</v>
      </c>
      <c r="X338" s="845">
        <f t="shared" ca="1" si="25"/>
        <v>4.4611111111111112</v>
      </c>
      <c r="Y338" s="48">
        <v>326</v>
      </c>
    </row>
    <row r="339" spans="1:25" ht="12" customHeight="1">
      <c r="A339" s="48"/>
      <c r="B339" s="2626" t="s">
        <v>47</v>
      </c>
      <c r="C339" s="2447" t="s">
        <v>519</v>
      </c>
      <c r="D339" s="2632" t="s">
        <v>46</v>
      </c>
      <c r="E339" s="1770">
        <f t="shared" si="23"/>
        <v>2721482921</v>
      </c>
      <c r="F339" s="3090">
        <f t="shared" si="24"/>
        <v>176.04495173918849</v>
      </c>
      <c r="G339" s="2400"/>
      <c r="H339" s="1773"/>
      <c r="I339" s="1603">
        <v>113755531</v>
      </c>
      <c r="J339" s="1674">
        <v>151723252</v>
      </c>
      <c r="K339" s="1674">
        <v>22366133</v>
      </c>
      <c r="L339" s="1604">
        <v>425164028</v>
      </c>
      <c r="M339" s="1604">
        <v>593802482</v>
      </c>
      <c r="N339" s="1604">
        <v>487943517</v>
      </c>
      <c r="O339" s="1604">
        <v>472202316</v>
      </c>
      <c r="P339" s="1604">
        <v>65900083</v>
      </c>
      <c r="Q339" s="1604">
        <v>388625579</v>
      </c>
      <c r="R339" s="877" t="s">
        <v>520</v>
      </c>
      <c r="S339" s="878" t="s">
        <v>185</v>
      </c>
      <c r="T339" s="879">
        <v>1</v>
      </c>
      <c r="U339" s="2586">
        <v>32605</v>
      </c>
      <c r="V339" s="880" t="s">
        <v>167</v>
      </c>
      <c r="W339" s="880" t="s">
        <v>128</v>
      </c>
      <c r="X339" s="844">
        <f t="shared" ca="1" si="25"/>
        <v>23.788888888888888</v>
      </c>
      <c r="Y339" s="48"/>
    </row>
    <row r="340" spans="1:25" ht="12" customHeight="1">
      <c r="A340" s="48">
        <v>328</v>
      </c>
      <c r="B340" s="533" t="s">
        <v>47</v>
      </c>
      <c r="C340" s="884" t="s">
        <v>521</v>
      </c>
      <c r="D340" s="540"/>
      <c r="E340" s="1756">
        <f t="shared" si="23"/>
        <v>2721482921</v>
      </c>
      <c r="F340" s="3090">
        <f t="shared" si="24"/>
        <v>176.04495173918849</v>
      </c>
      <c r="G340" s="2381"/>
      <c r="H340" s="1747"/>
      <c r="I340" s="1697">
        <v>113755531</v>
      </c>
      <c r="J340" s="1604">
        <v>151723252</v>
      </c>
      <c r="K340" s="1604">
        <v>22366133</v>
      </c>
      <c r="L340" s="1604">
        <v>425164028</v>
      </c>
      <c r="M340" s="1604">
        <v>593802482</v>
      </c>
      <c r="N340" s="1604">
        <v>487943517</v>
      </c>
      <c r="O340" s="1604">
        <v>472202316</v>
      </c>
      <c r="P340" s="1604">
        <v>65900083</v>
      </c>
      <c r="Q340" s="1604">
        <v>388625579</v>
      </c>
      <c r="R340" s="368" t="s">
        <v>522</v>
      </c>
      <c r="S340" s="369" t="s">
        <v>185</v>
      </c>
      <c r="T340" s="531">
        <v>1</v>
      </c>
      <c r="U340" s="1647">
        <v>32924</v>
      </c>
      <c r="V340" s="532" t="s">
        <v>89</v>
      </c>
      <c r="W340" s="532" t="s">
        <v>128</v>
      </c>
      <c r="X340" s="845">
        <f t="shared" ca="1" si="25"/>
        <v>22.919444444444444</v>
      </c>
      <c r="Y340" s="48">
        <v>328</v>
      </c>
    </row>
    <row r="341" spans="1:25" ht="12" customHeight="1">
      <c r="A341" s="48"/>
      <c r="B341" s="1347" t="s">
        <v>1820</v>
      </c>
      <c r="C341" s="373" t="s">
        <v>535</v>
      </c>
      <c r="D341" s="549" t="s">
        <v>46</v>
      </c>
      <c r="E341" s="2306">
        <f t="shared" si="23"/>
        <v>2727190599</v>
      </c>
      <c r="F341" s="3090">
        <f t="shared" si="24"/>
        <v>176.23515876357254</v>
      </c>
      <c r="G341" s="2390"/>
      <c r="H341" s="1751"/>
      <c r="I341" s="1768">
        <v>113815585</v>
      </c>
      <c r="J341" s="1689">
        <v>151801230</v>
      </c>
      <c r="K341" s="1689">
        <v>22381652</v>
      </c>
      <c r="L341" s="1689">
        <v>425375158</v>
      </c>
      <c r="M341" s="1689">
        <v>598442109</v>
      </c>
      <c r="N341" s="1689">
        <v>488185566</v>
      </c>
      <c r="O341" s="1689">
        <v>472434598</v>
      </c>
      <c r="P341" s="1689">
        <v>65936774</v>
      </c>
      <c r="Q341" s="1689">
        <v>388817927</v>
      </c>
      <c r="R341" s="365" t="s">
        <v>536</v>
      </c>
      <c r="S341" s="371" t="s">
        <v>76</v>
      </c>
      <c r="T341" s="541">
        <v>1</v>
      </c>
      <c r="U341" s="1654">
        <v>37564</v>
      </c>
      <c r="V341" s="527" t="s">
        <v>82</v>
      </c>
      <c r="W341" s="527" t="s">
        <v>472</v>
      </c>
      <c r="X341" s="844">
        <f t="shared" ca="1" si="25"/>
        <v>10.213888888888889</v>
      </c>
      <c r="Y341" s="48"/>
    </row>
    <row r="342" spans="1:25" ht="12" customHeight="1">
      <c r="A342" s="48">
        <v>330</v>
      </c>
      <c r="B342" s="2425" t="s">
        <v>1820</v>
      </c>
      <c r="C342" s="380" t="s">
        <v>868</v>
      </c>
      <c r="D342" s="538"/>
      <c r="E342" s="2302">
        <f t="shared" si="23"/>
        <v>2723234635</v>
      </c>
      <c r="F342" s="3090">
        <f t="shared" si="24"/>
        <v>176.35908201718274</v>
      </c>
      <c r="G342" s="2395"/>
      <c r="H342" s="1764"/>
      <c r="I342" s="1608">
        <v>113085933</v>
      </c>
      <c r="J342" s="1697">
        <v>151723397</v>
      </c>
      <c r="K342" s="1697">
        <v>22366286</v>
      </c>
      <c r="L342" s="1697">
        <v>425164172</v>
      </c>
      <c r="M342" s="1697">
        <v>593789237</v>
      </c>
      <c r="N342" s="1697">
        <v>489335032</v>
      </c>
      <c r="O342" s="1697">
        <v>472141549</v>
      </c>
      <c r="P342" s="1697">
        <v>67006775</v>
      </c>
      <c r="Q342" s="1697">
        <v>388622254</v>
      </c>
      <c r="R342" s="372" t="s">
        <v>867</v>
      </c>
      <c r="S342" s="305" t="s">
        <v>76</v>
      </c>
      <c r="T342" s="542">
        <v>1</v>
      </c>
      <c r="U342" s="1651">
        <v>39711</v>
      </c>
      <c r="V342" s="543" t="s">
        <v>635</v>
      </c>
      <c r="W342" s="545" t="s">
        <v>138</v>
      </c>
      <c r="X342" s="845">
        <f t="shared" ca="1" si="25"/>
        <v>4.3361111111111112</v>
      </c>
      <c r="Y342" s="48">
        <v>330</v>
      </c>
    </row>
    <row r="343" spans="1:25" ht="12" customHeight="1">
      <c r="A343" s="48"/>
      <c r="B343" s="533" t="s">
        <v>47</v>
      </c>
      <c r="C343" s="370" t="s">
        <v>537</v>
      </c>
      <c r="D343" s="525" t="s">
        <v>46</v>
      </c>
      <c r="E343" s="1756">
        <f t="shared" si="23"/>
        <v>2725511210</v>
      </c>
      <c r="F343" s="3090">
        <f t="shared" si="24"/>
        <v>176.31487727406088</v>
      </c>
      <c r="G343" s="2381"/>
      <c r="H343" s="1747"/>
      <c r="I343" s="1767">
        <v>116088965</v>
      </c>
      <c r="J343" s="1674">
        <v>145677124</v>
      </c>
      <c r="K343" s="1674">
        <v>26676796</v>
      </c>
      <c r="L343" s="1674">
        <v>418627931</v>
      </c>
      <c r="M343" s="1674">
        <v>593176844</v>
      </c>
      <c r="N343" s="1674">
        <v>489560240</v>
      </c>
      <c r="O343" s="1604">
        <v>511948858</v>
      </c>
      <c r="P343" s="1674">
        <v>61412767</v>
      </c>
      <c r="Q343" s="1674">
        <v>362341685</v>
      </c>
      <c r="R343" s="368" t="s">
        <v>538</v>
      </c>
      <c r="S343" s="369" t="s">
        <v>76</v>
      </c>
      <c r="T343" s="531">
        <v>1</v>
      </c>
      <c r="U343" s="1647">
        <v>38558</v>
      </c>
      <c r="V343" s="532" t="s">
        <v>84</v>
      </c>
      <c r="W343" s="532" t="s">
        <v>539</v>
      </c>
      <c r="X343" s="844">
        <f t="shared" ca="1" si="25"/>
        <v>7.4888888888888889</v>
      </c>
      <c r="Y343" s="48"/>
    </row>
    <row r="344" spans="1:25" ht="12" customHeight="1">
      <c r="A344" s="48">
        <v>332</v>
      </c>
      <c r="B344" s="533" t="s">
        <v>47</v>
      </c>
      <c r="C344" s="884" t="s">
        <v>528</v>
      </c>
      <c r="D344" s="529"/>
      <c r="E344" s="1756">
        <f t="shared" si="23"/>
        <v>2728606552</v>
      </c>
      <c r="F344" s="3090">
        <f t="shared" si="24"/>
        <v>176.65369504599616</v>
      </c>
      <c r="G344" s="2381"/>
      <c r="H344" s="1747"/>
      <c r="I344" s="1603">
        <v>114195830</v>
      </c>
      <c r="J344" s="1674">
        <v>151981185</v>
      </c>
      <c r="K344" s="1674">
        <v>22552417</v>
      </c>
      <c r="L344" s="1674">
        <v>426890804</v>
      </c>
      <c r="M344" s="1674">
        <v>593948040</v>
      </c>
      <c r="N344" s="1674">
        <v>488560940</v>
      </c>
      <c r="O344" s="1604">
        <v>474043050</v>
      </c>
      <c r="P344" s="1674">
        <v>66082080</v>
      </c>
      <c r="Q344" s="1674">
        <v>390352206</v>
      </c>
      <c r="R344" s="368" t="s">
        <v>529</v>
      </c>
      <c r="S344" s="369" t="s">
        <v>185</v>
      </c>
      <c r="T344" s="531">
        <v>1</v>
      </c>
      <c r="U344" s="1647">
        <v>35759</v>
      </c>
      <c r="V344" s="532" t="s">
        <v>138</v>
      </c>
      <c r="W344" s="532" t="s">
        <v>138</v>
      </c>
      <c r="X344" s="845">
        <f t="shared" ca="1" si="25"/>
        <v>15.155555555555555</v>
      </c>
      <c r="Y344" s="48">
        <v>332</v>
      </c>
    </row>
    <row r="345" spans="1:25" ht="12" customHeight="1">
      <c r="A345" s="48"/>
      <c r="B345" s="535" t="s">
        <v>47</v>
      </c>
      <c r="C345" s="888" t="s">
        <v>525</v>
      </c>
      <c r="D345" s="525" t="s">
        <v>46</v>
      </c>
      <c r="E345" s="2309">
        <f t="shared" si="23"/>
        <v>2728548026</v>
      </c>
      <c r="F345" s="3090">
        <f t="shared" si="24"/>
        <v>176.65502662340504</v>
      </c>
      <c r="G345" s="2387"/>
      <c r="H345" s="1748"/>
      <c r="I345" s="1702">
        <v>114211524</v>
      </c>
      <c r="J345" s="1689">
        <v>151988699</v>
      </c>
      <c r="K345" s="1689">
        <v>22550108</v>
      </c>
      <c r="L345" s="1689">
        <v>426844087</v>
      </c>
      <c r="M345" s="1689">
        <v>593940220</v>
      </c>
      <c r="N345" s="1689">
        <v>488556066</v>
      </c>
      <c r="O345" s="1689">
        <v>474041220</v>
      </c>
      <c r="P345" s="1689">
        <v>66092097</v>
      </c>
      <c r="Q345" s="1689">
        <v>390324005</v>
      </c>
      <c r="R345" s="376" t="s">
        <v>440</v>
      </c>
      <c r="S345" s="276" t="s">
        <v>185</v>
      </c>
      <c r="T345" s="550">
        <v>1</v>
      </c>
      <c r="U345" s="1648">
        <v>32605</v>
      </c>
      <c r="V345" s="551" t="s">
        <v>167</v>
      </c>
      <c r="W345" s="551" t="s">
        <v>526</v>
      </c>
      <c r="X345" s="844">
        <f t="shared" ca="1" si="25"/>
        <v>23.788888888888888</v>
      </c>
      <c r="Y345" s="48"/>
    </row>
    <row r="346" spans="1:25" ht="12" customHeight="1">
      <c r="A346" s="48">
        <v>334</v>
      </c>
      <c r="B346" s="1348" t="s">
        <v>1820</v>
      </c>
      <c r="C346" s="886" t="s">
        <v>527</v>
      </c>
      <c r="D346" s="529"/>
      <c r="E346" s="2304">
        <f t="shared" si="23"/>
        <v>2728548098</v>
      </c>
      <c r="F346" s="3090">
        <f t="shared" si="24"/>
        <v>176.65505501461217</v>
      </c>
      <c r="G346" s="2388"/>
      <c r="H346" s="1749"/>
      <c r="I346" s="1678">
        <v>114211546</v>
      </c>
      <c r="J346" s="1697">
        <v>151988699</v>
      </c>
      <c r="K346" s="1697">
        <v>22550131</v>
      </c>
      <c r="L346" s="1697">
        <v>426844087</v>
      </c>
      <c r="M346" s="1697">
        <v>593940220</v>
      </c>
      <c r="N346" s="1697">
        <v>488556066</v>
      </c>
      <c r="O346" s="1697">
        <v>474041220</v>
      </c>
      <c r="P346" s="1697">
        <v>66092124</v>
      </c>
      <c r="Q346" s="1697">
        <v>390324005</v>
      </c>
      <c r="R346" s="360" t="s">
        <v>325</v>
      </c>
      <c r="S346" s="361" t="s">
        <v>185</v>
      </c>
      <c r="T346" s="519">
        <v>1</v>
      </c>
      <c r="U346" s="1653">
        <v>33734</v>
      </c>
      <c r="V346" s="520" t="s">
        <v>89</v>
      </c>
      <c r="W346" s="520" t="s">
        <v>138</v>
      </c>
      <c r="X346" s="845">
        <f t="shared" ca="1" si="25"/>
        <v>20.697222222222223</v>
      </c>
      <c r="Y346" s="48">
        <v>334</v>
      </c>
    </row>
    <row r="347" spans="1:25" ht="12" customHeight="1">
      <c r="A347" s="48"/>
      <c r="B347" s="2105" t="s">
        <v>1820</v>
      </c>
      <c r="C347" s="364" t="s">
        <v>1094</v>
      </c>
      <c r="D347" s="525"/>
      <c r="E347" s="1758">
        <f t="shared" si="23"/>
        <v>2728665548</v>
      </c>
      <c r="F347" s="3090">
        <f t="shared" si="24"/>
        <v>176.6913807136134</v>
      </c>
      <c r="G347" s="2382"/>
      <c r="H347" s="1755"/>
      <c r="I347" s="1681">
        <v>114235843</v>
      </c>
      <c r="J347" s="1604">
        <v>151988724</v>
      </c>
      <c r="K347" s="1604">
        <v>22550129</v>
      </c>
      <c r="L347" s="1604">
        <v>426844112</v>
      </c>
      <c r="M347" s="1604">
        <v>593942360</v>
      </c>
      <c r="N347" s="1604">
        <v>488556090</v>
      </c>
      <c r="O347" s="1604">
        <v>474041282</v>
      </c>
      <c r="P347" s="1604">
        <v>66182827</v>
      </c>
      <c r="Q347" s="1604">
        <v>390324181</v>
      </c>
      <c r="R347" s="363" t="s">
        <v>1095</v>
      </c>
      <c r="S347" s="309" t="s">
        <v>76</v>
      </c>
      <c r="T347" s="523">
        <v>1</v>
      </c>
      <c r="U347" s="1646">
        <v>36222</v>
      </c>
      <c r="V347" s="524" t="s">
        <v>89</v>
      </c>
      <c r="W347" s="524" t="s">
        <v>1099</v>
      </c>
      <c r="X347" s="844">
        <f t="shared" ca="1" si="25"/>
        <v>13.883333333333333</v>
      </c>
      <c r="Y347" s="48"/>
    </row>
    <row r="348" spans="1:25" ht="12" customHeight="1">
      <c r="A348" s="48">
        <v>336</v>
      </c>
      <c r="B348" s="521" t="s">
        <v>47</v>
      </c>
      <c r="C348" s="889" t="s">
        <v>1189</v>
      </c>
      <c r="D348" s="525"/>
      <c r="E348" s="1758">
        <f t="shared" si="23"/>
        <v>2728665789</v>
      </c>
      <c r="F348" s="3090">
        <f t="shared" si="24"/>
        <v>176.69142133490055</v>
      </c>
      <c r="G348" s="2381"/>
      <c r="H348" s="1747"/>
      <c r="I348" s="1603">
        <v>114235871</v>
      </c>
      <c r="J348" s="1674">
        <v>151988751</v>
      </c>
      <c r="K348" s="1674">
        <v>22550156</v>
      </c>
      <c r="L348" s="1674">
        <v>426844139</v>
      </c>
      <c r="M348" s="1674">
        <v>593942389</v>
      </c>
      <c r="N348" s="1674">
        <v>488556118</v>
      </c>
      <c r="O348" s="1604">
        <v>474041308</v>
      </c>
      <c r="P348" s="1674">
        <v>66182850</v>
      </c>
      <c r="Q348" s="1710">
        <v>390324207</v>
      </c>
      <c r="R348" s="368" t="s">
        <v>1190</v>
      </c>
      <c r="S348" s="369" t="s">
        <v>185</v>
      </c>
      <c r="T348" s="531">
        <v>1</v>
      </c>
      <c r="U348" s="1647">
        <v>36548</v>
      </c>
      <c r="V348" s="532" t="s">
        <v>605</v>
      </c>
      <c r="W348" s="562" t="s">
        <v>138</v>
      </c>
      <c r="X348" s="845">
        <f t="shared" ca="1" si="25"/>
        <v>12.994444444444444</v>
      </c>
      <c r="Y348" s="48">
        <v>336</v>
      </c>
    </row>
    <row r="349" spans="1:25" ht="12" customHeight="1">
      <c r="A349" s="48"/>
      <c r="B349" s="535" t="s">
        <v>47</v>
      </c>
      <c r="C349" s="383" t="s">
        <v>552</v>
      </c>
      <c r="D349" s="536"/>
      <c r="E349" s="2309">
        <f t="shared" si="23"/>
        <v>2741360243</v>
      </c>
      <c r="F349" s="3090">
        <f t="shared" si="24"/>
        <v>176.91373877041292</v>
      </c>
      <c r="G349" s="2387"/>
      <c r="H349" s="1748"/>
      <c r="I349" s="1702">
        <v>145981321</v>
      </c>
      <c r="J349" s="1689">
        <v>172732990</v>
      </c>
      <c r="K349" s="1689">
        <v>19003852</v>
      </c>
      <c r="L349" s="1689">
        <v>403281760</v>
      </c>
      <c r="M349" s="1689">
        <v>725824642</v>
      </c>
      <c r="N349" s="1689">
        <v>492103406</v>
      </c>
      <c r="O349" s="1689">
        <v>435178999</v>
      </c>
      <c r="P349" s="1689">
        <v>72709846</v>
      </c>
      <c r="Q349" s="1689">
        <v>274543427</v>
      </c>
      <c r="R349" s="376" t="s">
        <v>553</v>
      </c>
      <c r="S349" s="276" t="s">
        <v>76</v>
      </c>
      <c r="T349" s="550">
        <v>1</v>
      </c>
      <c r="U349" s="1648">
        <v>39227</v>
      </c>
      <c r="V349" s="551" t="s">
        <v>129</v>
      </c>
      <c r="W349" s="551" t="s">
        <v>554</v>
      </c>
      <c r="X349" s="844">
        <f t="shared" ca="1" si="25"/>
        <v>5.6555555555555559</v>
      </c>
      <c r="Y349" s="48"/>
    </row>
    <row r="350" spans="1:25" ht="12" customHeight="1">
      <c r="A350" s="48">
        <v>338</v>
      </c>
      <c r="B350" s="560" t="s">
        <v>47</v>
      </c>
      <c r="C350" s="2448" t="s">
        <v>1027</v>
      </c>
      <c r="D350" s="552" t="s">
        <v>46</v>
      </c>
      <c r="E350" s="2310">
        <f t="shared" si="23"/>
        <v>2761250702</v>
      </c>
      <c r="F350" s="3090">
        <f t="shared" si="24"/>
        <v>177.12739554968883</v>
      </c>
      <c r="G350" s="2395"/>
      <c r="H350" s="1764"/>
      <c r="I350" s="1678">
        <v>113912204</v>
      </c>
      <c r="J350" s="1697">
        <v>149012826</v>
      </c>
      <c r="K350" s="1697">
        <v>22262490</v>
      </c>
      <c r="L350" s="1697">
        <v>426550106</v>
      </c>
      <c r="M350" s="1697">
        <v>594745868</v>
      </c>
      <c r="N350" s="1697">
        <v>490726086</v>
      </c>
      <c r="O350" s="1697">
        <v>512545082</v>
      </c>
      <c r="P350" s="1697">
        <v>65125438</v>
      </c>
      <c r="Q350" s="1697">
        <v>386370602</v>
      </c>
      <c r="R350" s="372" t="s">
        <v>540</v>
      </c>
      <c r="S350" s="305" t="s">
        <v>185</v>
      </c>
      <c r="T350" s="542">
        <v>1</v>
      </c>
      <c r="U350" s="1651">
        <v>33179</v>
      </c>
      <c r="V350" s="543" t="s">
        <v>84</v>
      </c>
      <c r="W350" s="543" t="s">
        <v>541</v>
      </c>
      <c r="X350" s="845">
        <f t="shared" ca="1" si="25"/>
        <v>22.219444444444445</v>
      </c>
      <c r="Y350" s="48">
        <v>338</v>
      </c>
    </row>
    <row r="351" spans="1:25" ht="12" customHeight="1">
      <c r="A351" s="48"/>
      <c r="B351" s="2633" t="s">
        <v>47</v>
      </c>
      <c r="C351" s="898" t="s">
        <v>1258</v>
      </c>
      <c r="D351" s="2634"/>
      <c r="E351" s="1756">
        <f t="shared" si="23"/>
        <v>2787645348</v>
      </c>
      <c r="F351" s="3090">
        <f t="shared" si="24"/>
        <v>177.81333441044924</v>
      </c>
      <c r="G351" s="2381"/>
      <c r="H351" s="1747"/>
      <c r="I351" s="1603">
        <v>124135688</v>
      </c>
      <c r="J351" s="1674">
        <v>148786707</v>
      </c>
      <c r="K351" s="1674">
        <v>20817687</v>
      </c>
      <c r="L351" s="1674">
        <v>461773911</v>
      </c>
      <c r="M351" s="1674">
        <v>594293991</v>
      </c>
      <c r="N351" s="1674">
        <v>492148736</v>
      </c>
      <c r="O351" s="1604">
        <v>503796633</v>
      </c>
      <c r="P351" s="1674">
        <v>63491659</v>
      </c>
      <c r="Q351" s="1674">
        <v>378400336</v>
      </c>
      <c r="R351" s="368" t="s">
        <v>377</v>
      </c>
      <c r="S351" s="369" t="s">
        <v>185</v>
      </c>
      <c r="T351" s="531">
        <v>1</v>
      </c>
      <c r="U351" s="1665">
        <v>32230</v>
      </c>
      <c r="V351" s="532" t="s">
        <v>89</v>
      </c>
      <c r="W351" s="532" t="s">
        <v>139</v>
      </c>
      <c r="X351" s="844">
        <f t="shared" ca="1" si="25"/>
        <v>24.81388888888889</v>
      </c>
      <c r="Y351" s="48"/>
    </row>
    <row r="352" spans="1:25" ht="12" customHeight="1">
      <c r="A352" s="48">
        <v>340</v>
      </c>
      <c r="B352" s="544" t="s">
        <v>47</v>
      </c>
      <c r="C352" s="3022" t="s">
        <v>1777</v>
      </c>
      <c r="D352" s="525" t="s">
        <v>46</v>
      </c>
      <c r="E352" s="1758">
        <f t="shared" si="23"/>
        <v>2932320950</v>
      </c>
      <c r="F352" s="3090">
        <f t="shared" si="24"/>
        <v>178.76378544535478</v>
      </c>
      <c r="G352" s="2392">
        <f>65+104+0+214+131+74+168+45+240</f>
        <v>1041</v>
      </c>
      <c r="H352" s="1676"/>
      <c r="I352" s="1681">
        <v>122259530</v>
      </c>
      <c r="J352" s="1604">
        <v>158090980</v>
      </c>
      <c r="K352" s="1604">
        <v>21556599</v>
      </c>
      <c r="L352" s="1604">
        <v>425409492</v>
      </c>
      <c r="M352" s="1604">
        <v>729735998</v>
      </c>
      <c r="N352" s="1604">
        <v>599469278</v>
      </c>
      <c r="O352" s="1604">
        <v>481961257</v>
      </c>
      <c r="P352" s="1604">
        <v>62567819</v>
      </c>
      <c r="Q352" s="1604">
        <v>331269997</v>
      </c>
      <c r="R352" s="363" t="s">
        <v>1776</v>
      </c>
      <c r="S352" s="267" t="s">
        <v>76</v>
      </c>
      <c r="T352" s="523">
        <v>1</v>
      </c>
      <c r="U352" s="1646">
        <v>39647</v>
      </c>
      <c r="V352" s="524" t="s">
        <v>1352</v>
      </c>
      <c r="W352" s="524" t="s">
        <v>1775</v>
      </c>
      <c r="X352" s="845">
        <f t="shared" ca="1" si="25"/>
        <v>4.5083333333333337</v>
      </c>
      <c r="Y352" s="48">
        <v>340</v>
      </c>
    </row>
    <row r="353" spans="1:25" ht="12" customHeight="1">
      <c r="A353" s="48"/>
      <c r="B353" s="535" t="s">
        <v>47</v>
      </c>
      <c r="C353" s="383" t="s">
        <v>558</v>
      </c>
      <c r="D353" s="536"/>
      <c r="E353" s="2309">
        <f t="shared" si="23"/>
        <v>2818283611</v>
      </c>
      <c r="F353" s="3090">
        <f t="shared" si="24"/>
        <v>178.84499641150825</v>
      </c>
      <c r="G353" s="2387"/>
      <c r="H353" s="1748"/>
      <c r="I353" s="1702">
        <v>144925557</v>
      </c>
      <c r="J353" s="1689">
        <v>172936657</v>
      </c>
      <c r="K353" s="1689">
        <v>19003852</v>
      </c>
      <c r="L353" s="1689">
        <v>401244546</v>
      </c>
      <c r="M353" s="1689">
        <v>711127696</v>
      </c>
      <c r="N353" s="1689">
        <v>580529019</v>
      </c>
      <c r="O353" s="1689">
        <v>438014407</v>
      </c>
      <c r="P353" s="1689">
        <v>72511166</v>
      </c>
      <c r="Q353" s="1689">
        <v>277990711</v>
      </c>
      <c r="R353" s="376" t="s">
        <v>553</v>
      </c>
      <c r="S353" s="276" t="s">
        <v>76</v>
      </c>
      <c r="T353" s="550">
        <v>1</v>
      </c>
      <c r="U353" s="1648">
        <v>39378</v>
      </c>
      <c r="V353" s="551" t="s">
        <v>129</v>
      </c>
      <c r="W353" s="551" t="s">
        <v>554</v>
      </c>
      <c r="X353" s="844">
        <f t="shared" ca="1" si="25"/>
        <v>5.2444444444444445</v>
      </c>
      <c r="Y353" s="48"/>
    </row>
    <row r="354" spans="1:25" ht="12" customHeight="1">
      <c r="A354" s="48">
        <v>342</v>
      </c>
      <c r="B354" s="544" t="s">
        <v>47</v>
      </c>
      <c r="C354" s="377" t="s">
        <v>834</v>
      </c>
      <c r="D354" s="538"/>
      <c r="E354" s="2302">
        <f t="shared" si="23"/>
        <v>2742516911</v>
      </c>
      <c r="F354" s="3090">
        <f t="shared" si="24"/>
        <v>178.69147429885558</v>
      </c>
      <c r="G354" s="2395"/>
      <c r="H354" s="1764"/>
      <c r="I354" s="1678">
        <v>113912889</v>
      </c>
      <c r="J354" s="1697">
        <v>151856085</v>
      </c>
      <c r="K354" s="1697">
        <v>29455133</v>
      </c>
      <c r="L354" s="1697">
        <v>423167754</v>
      </c>
      <c r="M354" s="1697">
        <v>593703905</v>
      </c>
      <c r="N354" s="1697">
        <v>491908835</v>
      </c>
      <c r="O354" s="1697">
        <v>507996662</v>
      </c>
      <c r="P354" s="1697">
        <v>58973568</v>
      </c>
      <c r="Q354" s="1697">
        <v>371542080</v>
      </c>
      <c r="R354" s="372" t="s">
        <v>835</v>
      </c>
      <c r="S354" s="355" t="s">
        <v>76</v>
      </c>
      <c r="T354" s="542">
        <v>1</v>
      </c>
      <c r="U354" s="1651">
        <v>40212</v>
      </c>
      <c r="V354" s="543" t="s">
        <v>82</v>
      </c>
      <c r="W354" s="543" t="s">
        <v>410</v>
      </c>
      <c r="X354" s="845">
        <f t="shared" ca="1" si="25"/>
        <v>2.9666666666666668</v>
      </c>
      <c r="Y354" s="48">
        <v>342</v>
      </c>
    </row>
    <row r="355" spans="1:25" ht="12" customHeight="1">
      <c r="A355" s="48"/>
      <c r="B355" s="521" t="s">
        <v>47</v>
      </c>
      <c r="C355" s="364" t="s">
        <v>941</v>
      </c>
      <c r="D355" s="522"/>
      <c r="E355" s="1758">
        <f t="shared" si="23"/>
        <v>2744740344</v>
      </c>
      <c r="F355" s="3090">
        <f t="shared" si="24"/>
        <v>179.34786980176594</v>
      </c>
      <c r="G355" s="2392">
        <f>22.78+18.13+0+23+20.67+48.23+42.91+47.23+21.94</f>
        <v>244.89</v>
      </c>
      <c r="H355" s="1769"/>
      <c r="I355" s="1681">
        <v>118538641</v>
      </c>
      <c r="J355" s="1604">
        <v>152854036</v>
      </c>
      <c r="K355" s="1604">
        <v>27925780</v>
      </c>
      <c r="L355" s="1604">
        <v>416759208</v>
      </c>
      <c r="M355" s="1604">
        <v>595260027</v>
      </c>
      <c r="N355" s="1604">
        <v>490034670</v>
      </c>
      <c r="O355" s="1604">
        <v>513619101</v>
      </c>
      <c r="P355" s="1604">
        <v>61921462</v>
      </c>
      <c r="Q355" s="1604">
        <v>367827419</v>
      </c>
      <c r="R355" s="363" t="s">
        <v>940</v>
      </c>
      <c r="S355" s="267" t="s">
        <v>76</v>
      </c>
      <c r="T355" s="537">
        <v>8</v>
      </c>
      <c r="U355" s="1646">
        <v>40984</v>
      </c>
      <c r="V355" s="524" t="s">
        <v>268</v>
      </c>
      <c r="W355" s="524" t="s">
        <v>410</v>
      </c>
      <c r="X355" s="844">
        <f t="shared" ca="1" si="25"/>
        <v>0.84722222222222221</v>
      </c>
      <c r="Y355" s="48"/>
    </row>
    <row r="356" spans="1:25" ht="12" customHeight="1">
      <c r="A356" s="48">
        <v>344</v>
      </c>
      <c r="B356" s="521" t="s">
        <v>47</v>
      </c>
      <c r="C356" s="362" t="s">
        <v>1228</v>
      </c>
      <c r="D356" s="522"/>
      <c r="E356" s="1758">
        <f t="shared" si="23"/>
        <v>2723008395</v>
      </c>
      <c r="F356" s="3090">
        <f t="shared" si="24"/>
        <v>179.80700791685189</v>
      </c>
      <c r="G356" s="2397">
        <f>1.29+6.16+0+6.37+0.98+1.31+0.91+6.75+2.48</f>
        <v>26.25</v>
      </c>
      <c r="H356" s="1750"/>
      <c r="I356" s="1603">
        <v>114546479</v>
      </c>
      <c r="J356" s="1674">
        <v>148714097</v>
      </c>
      <c r="K356" s="1674">
        <v>29577856</v>
      </c>
      <c r="L356" s="1674">
        <v>427680353</v>
      </c>
      <c r="M356" s="1674">
        <v>593327688</v>
      </c>
      <c r="N356" s="1674">
        <v>488208935</v>
      </c>
      <c r="O356" s="1604">
        <v>466820524</v>
      </c>
      <c r="P356" s="1674">
        <v>64251834</v>
      </c>
      <c r="Q356" s="1674">
        <v>389880629</v>
      </c>
      <c r="R356" s="363" t="s">
        <v>826</v>
      </c>
      <c r="S356" s="309" t="s">
        <v>76</v>
      </c>
      <c r="T356" s="523">
        <v>1</v>
      </c>
      <c r="U356" s="1646">
        <v>40553</v>
      </c>
      <c r="V356" s="524" t="s">
        <v>268</v>
      </c>
      <c r="W356" s="524" t="s">
        <v>827</v>
      </c>
      <c r="X356" s="845">
        <f t="shared" ca="1" si="25"/>
        <v>2.0305555555555554</v>
      </c>
      <c r="Y356" s="48">
        <v>344</v>
      </c>
    </row>
    <row r="357" spans="1:25" ht="12" customHeight="1">
      <c r="A357" s="48"/>
      <c r="B357" s="1347" t="s">
        <v>1820</v>
      </c>
      <c r="C357" s="373" t="s">
        <v>517</v>
      </c>
      <c r="D357" s="517"/>
      <c r="E357" s="2306">
        <f t="shared" si="23"/>
        <v>2730185520</v>
      </c>
      <c r="F357" s="3090">
        <f t="shared" si="24"/>
        <v>180.60185979933533</v>
      </c>
      <c r="G357" s="2390"/>
      <c r="H357" s="1751"/>
      <c r="I357" s="1703">
        <v>115018556</v>
      </c>
      <c r="J357" s="1687">
        <v>157914044</v>
      </c>
      <c r="K357" s="1687">
        <v>27229192</v>
      </c>
      <c r="L357" s="1687">
        <v>427225052</v>
      </c>
      <c r="M357" s="1687">
        <v>592416284</v>
      </c>
      <c r="N357" s="1687">
        <v>491022344</v>
      </c>
      <c r="O357" s="1689">
        <v>489146168</v>
      </c>
      <c r="P357" s="1687">
        <v>69552236</v>
      </c>
      <c r="Q357" s="1687">
        <v>360661644</v>
      </c>
      <c r="R357" s="365" t="s">
        <v>518</v>
      </c>
      <c r="S357" s="371" t="s">
        <v>76</v>
      </c>
      <c r="T357" s="541">
        <v>1</v>
      </c>
      <c r="U357" s="1654">
        <v>38129</v>
      </c>
      <c r="V357" s="527" t="s">
        <v>89</v>
      </c>
      <c r="W357" s="527" t="s">
        <v>139</v>
      </c>
      <c r="X357" s="844">
        <f t="shared" ca="1" si="25"/>
        <v>8.6638888888888896</v>
      </c>
      <c r="Y357" s="48"/>
    </row>
    <row r="358" spans="1:25" ht="12" customHeight="1">
      <c r="A358" s="48">
        <v>346</v>
      </c>
      <c r="B358" s="544" t="s">
        <v>47</v>
      </c>
      <c r="C358" s="380" t="s">
        <v>880</v>
      </c>
      <c r="D358" s="552" t="s">
        <v>46</v>
      </c>
      <c r="E358" s="2302">
        <f t="shared" si="23"/>
        <v>2784440149</v>
      </c>
      <c r="F358" s="3090">
        <f t="shared" si="24"/>
        <v>182.51959453844557</v>
      </c>
      <c r="G358" s="2398"/>
      <c r="H358" s="2522"/>
      <c r="I358" s="1678">
        <v>121079882</v>
      </c>
      <c r="J358" s="1697">
        <v>157457532</v>
      </c>
      <c r="K358" s="1697">
        <v>26875445</v>
      </c>
      <c r="L358" s="1697">
        <v>427039210</v>
      </c>
      <c r="M358" s="1697">
        <v>595427627</v>
      </c>
      <c r="N358" s="1697">
        <v>490100815</v>
      </c>
      <c r="O358" s="1697">
        <v>517148030</v>
      </c>
      <c r="P358" s="1697">
        <v>64159907</v>
      </c>
      <c r="Q358" s="1697">
        <v>385151701</v>
      </c>
      <c r="R358" s="372" t="s">
        <v>879</v>
      </c>
      <c r="S358" s="355" t="s">
        <v>76</v>
      </c>
      <c r="T358" s="542">
        <v>1</v>
      </c>
      <c r="U358" s="1651">
        <v>40525</v>
      </c>
      <c r="V358" s="543" t="s">
        <v>268</v>
      </c>
      <c r="W358" s="543" t="s">
        <v>410</v>
      </c>
      <c r="X358" s="845">
        <f t="shared" ca="1" si="25"/>
        <v>2.1055555555555556</v>
      </c>
      <c r="Y358" s="48">
        <v>346</v>
      </c>
    </row>
    <row r="359" spans="1:25" ht="12" customHeight="1">
      <c r="A359" s="48"/>
      <c r="B359" s="533" t="s">
        <v>47</v>
      </c>
      <c r="C359" s="896" t="s">
        <v>1166</v>
      </c>
      <c r="D359" s="525"/>
      <c r="E359" s="1758">
        <f t="shared" si="23"/>
        <v>2791148370</v>
      </c>
      <c r="F359" s="3090">
        <f t="shared" si="24"/>
        <v>183.13415690153906</v>
      </c>
      <c r="G359" s="2382"/>
      <c r="H359" s="1755"/>
      <c r="I359" s="1681">
        <v>117402140</v>
      </c>
      <c r="J359" s="1604">
        <v>156074027</v>
      </c>
      <c r="K359" s="1604">
        <v>24465019</v>
      </c>
      <c r="L359" s="1604">
        <v>438834503</v>
      </c>
      <c r="M359" s="1604">
        <v>596429024</v>
      </c>
      <c r="N359" s="1604">
        <v>490738753</v>
      </c>
      <c r="O359" s="1604">
        <v>478931485</v>
      </c>
      <c r="P359" s="1604">
        <v>68954525</v>
      </c>
      <c r="Q359" s="1604">
        <v>419318894</v>
      </c>
      <c r="R359" s="363" t="s">
        <v>1167</v>
      </c>
      <c r="S359" s="309" t="s">
        <v>185</v>
      </c>
      <c r="T359" s="523">
        <v>1</v>
      </c>
      <c r="U359" s="1646">
        <v>33872</v>
      </c>
      <c r="V359" s="524" t="s">
        <v>89</v>
      </c>
      <c r="W359" s="526" t="s">
        <v>1170</v>
      </c>
      <c r="X359" s="844">
        <f t="shared" ca="1" si="25"/>
        <v>20.322222222222223</v>
      </c>
      <c r="Y359" s="48"/>
    </row>
    <row r="360" spans="1:25" ht="12" customHeight="1">
      <c r="A360" s="48">
        <v>348</v>
      </c>
      <c r="B360" s="533" t="s">
        <v>47</v>
      </c>
      <c r="C360" s="884" t="s">
        <v>568</v>
      </c>
      <c r="D360" s="534"/>
      <c r="E360" s="1756">
        <f t="shared" si="23"/>
        <v>2913883291</v>
      </c>
      <c r="F360" s="3090">
        <f t="shared" si="24"/>
        <v>185.76184207155831</v>
      </c>
      <c r="G360" s="2381"/>
      <c r="H360" s="1747"/>
      <c r="I360" s="1603">
        <v>120792998</v>
      </c>
      <c r="J360" s="1674">
        <v>148014069</v>
      </c>
      <c r="K360" s="1674">
        <v>27834393</v>
      </c>
      <c r="L360" s="1674">
        <v>454824337</v>
      </c>
      <c r="M360" s="1674">
        <v>658835333</v>
      </c>
      <c r="N360" s="1674">
        <v>542961081</v>
      </c>
      <c r="O360" s="1604">
        <v>511725857</v>
      </c>
      <c r="P360" s="1674">
        <v>66042985</v>
      </c>
      <c r="Q360" s="1674">
        <v>382852238</v>
      </c>
      <c r="R360" s="368" t="s">
        <v>569</v>
      </c>
      <c r="S360" s="369" t="s">
        <v>185</v>
      </c>
      <c r="T360" s="531">
        <v>1</v>
      </c>
      <c r="U360" s="1650">
        <v>38188</v>
      </c>
      <c r="V360" s="532" t="s">
        <v>84</v>
      </c>
      <c r="W360" s="532" t="s">
        <v>570</v>
      </c>
      <c r="X360" s="845">
        <f t="shared" ca="1" si="25"/>
        <v>8.5027777777777782</v>
      </c>
      <c r="Y360" s="48">
        <v>348</v>
      </c>
    </row>
    <row r="361" spans="1:25" ht="12" customHeight="1">
      <c r="A361" s="48"/>
      <c r="B361" s="553" t="s">
        <v>47</v>
      </c>
      <c r="C361" s="1455" t="s">
        <v>1494</v>
      </c>
      <c r="D361" s="547"/>
      <c r="E361" s="2306">
        <f t="shared" si="23"/>
        <v>2825226960</v>
      </c>
      <c r="F361" s="3090">
        <f t="shared" si="24"/>
        <v>185.9316601461183</v>
      </c>
      <c r="G361" s="2503">
        <f>821+1235+0+2150+1202+934+1606+740+3470</f>
        <v>12158</v>
      </c>
      <c r="H361" s="1774"/>
      <c r="I361" s="2529">
        <v>125953213</v>
      </c>
      <c r="J361" s="1687">
        <v>163301497</v>
      </c>
      <c r="K361" s="1687">
        <v>21940578</v>
      </c>
      <c r="L361" s="1687">
        <v>441175011</v>
      </c>
      <c r="M361" s="1687">
        <v>598705381</v>
      </c>
      <c r="N361" s="1687">
        <v>491751878</v>
      </c>
      <c r="O361" s="1689">
        <v>503098229</v>
      </c>
      <c r="P361" s="1687">
        <v>73413117</v>
      </c>
      <c r="Q361" s="1687">
        <v>405888056</v>
      </c>
      <c r="R361" s="365" t="s">
        <v>1496</v>
      </c>
      <c r="S361" s="371" t="s">
        <v>185</v>
      </c>
      <c r="T361" s="541">
        <v>1</v>
      </c>
      <c r="U361" s="1654">
        <v>34129</v>
      </c>
      <c r="V361" s="527" t="s">
        <v>89</v>
      </c>
      <c r="W361" s="527" t="s">
        <v>1149</v>
      </c>
      <c r="X361" s="844">
        <f t="shared" ca="1" si="25"/>
        <v>19.616666666666667</v>
      </c>
      <c r="Y361" s="48"/>
    </row>
    <row r="362" spans="1:25" ht="12" customHeight="1">
      <c r="A362" s="48">
        <v>350</v>
      </c>
      <c r="B362" s="544" t="s">
        <v>47</v>
      </c>
      <c r="C362" s="2449" t="s">
        <v>1495</v>
      </c>
      <c r="D362" s="538"/>
      <c r="E362" s="2302">
        <f t="shared" si="23"/>
        <v>2825226996</v>
      </c>
      <c r="F362" s="3090">
        <f t="shared" si="24"/>
        <v>185.93166635787713</v>
      </c>
      <c r="G362" s="2398">
        <f>284+420+0+704+305+236+462+265+1236</f>
        <v>3912</v>
      </c>
      <c r="H362" s="1764"/>
      <c r="I362" s="1608">
        <v>125953217</v>
      </c>
      <c r="J362" s="1612">
        <v>163301501</v>
      </c>
      <c r="K362" s="1612">
        <v>21940582</v>
      </c>
      <c r="L362" s="1612">
        <v>441175015</v>
      </c>
      <c r="M362" s="1612">
        <v>598705385</v>
      </c>
      <c r="N362" s="1612">
        <v>491751882</v>
      </c>
      <c r="O362" s="1697">
        <v>503098233</v>
      </c>
      <c r="P362" s="1612">
        <v>73413121</v>
      </c>
      <c r="Q362" s="1612">
        <v>405888060</v>
      </c>
      <c r="R362" s="372" t="s">
        <v>602</v>
      </c>
      <c r="S362" s="305" t="s">
        <v>185</v>
      </c>
      <c r="T362" s="542">
        <v>1</v>
      </c>
      <c r="U362" s="1651">
        <v>36465</v>
      </c>
      <c r="V362" s="543" t="s">
        <v>89</v>
      </c>
      <c r="W362" s="543" t="s">
        <v>139</v>
      </c>
      <c r="X362" s="845">
        <f t="shared" ca="1" si="25"/>
        <v>13.222222222222221</v>
      </c>
      <c r="Y362" s="48">
        <v>350</v>
      </c>
    </row>
    <row r="363" spans="1:25" ht="12" customHeight="1">
      <c r="A363" s="48"/>
      <c r="B363" s="521" t="s">
        <v>47</v>
      </c>
      <c r="C363" s="3022" t="s">
        <v>1759</v>
      </c>
      <c r="D363" s="525" t="s">
        <v>46</v>
      </c>
      <c r="E363" s="1758">
        <f t="shared" si="23"/>
        <v>2718324097</v>
      </c>
      <c r="F363" s="3090">
        <f t="shared" si="24"/>
        <v>186.23783058630784</v>
      </c>
      <c r="G363" s="2392">
        <f>378+543+0+1169+1198+941+1045+336+1611</f>
        <v>7221</v>
      </c>
      <c r="H363" s="1676"/>
      <c r="I363" s="1768">
        <v>135001396</v>
      </c>
      <c r="J363" s="1604">
        <v>180515631</v>
      </c>
      <c r="K363" s="1604">
        <v>18103168</v>
      </c>
      <c r="L363" s="1604">
        <v>393382398</v>
      </c>
      <c r="M363" s="1604">
        <v>605053256</v>
      </c>
      <c r="N363" s="1604">
        <v>492722427</v>
      </c>
      <c r="O363" s="1604">
        <v>420229089</v>
      </c>
      <c r="P363" s="1604">
        <v>90235489</v>
      </c>
      <c r="Q363" s="1604">
        <v>383081243</v>
      </c>
      <c r="R363" s="363" t="s">
        <v>1760</v>
      </c>
      <c r="S363" s="267" t="s">
        <v>76</v>
      </c>
      <c r="T363" s="523">
        <v>1</v>
      </c>
      <c r="U363" s="1646">
        <v>38891</v>
      </c>
      <c r="V363" s="524" t="s">
        <v>89</v>
      </c>
      <c r="W363" s="524" t="s">
        <v>1798</v>
      </c>
      <c r="X363" s="844">
        <f t="shared" ca="1" si="25"/>
        <v>6.5777777777777775</v>
      </c>
      <c r="Y363" s="48"/>
    </row>
    <row r="364" spans="1:25" ht="12" customHeight="1">
      <c r="A364" s="48">
        <v>352</v>
      </c>
      <c r="B364" s="533" t="s">
        <v>47</v>
      </c>
      <c r="C364" s="370" t="s">
        <v>1018</v>
      </c>
      <c r="D364" s="534"/>
      <c r="E364" s="1756">
        <f t="shared" si="23"/>
        <v>2826896174</v>
      </c>
      <c r="F364" s="3090">
        <f t="shared" si="24"/>
        <v>187.0363868964763</v>
      </c>
      <c r="G364" s="2381"/>
      <c r="H364" s="1747"/>
      <c r="I364" s="1603">
        <v>111146247</v>
      </c>
      <c r="J364" s="1674">
        <v>132108152</v>
      </c>
      <c r="K364" s="1674">
        <v>26847832</v>
      </c>
      <c r="L364" s="1760">
        <v>421543283</v>
      </c>
      <c r="M364" s="1674">
        <v>647658954</v>
      </c>
      <c r="N364" s="1760">
        <v>535061976</v>
      </c>
      <c r="O364" s="1604">
        <v>479364367</v>
      </c>
      <c r="P364" s="1674">
        <v>93353819</v>
      </c>
      <c r="Q364" s="1674">
        <v>379811544</v>
      </c>
      <c r="R364" s="368" t="s">
        <v>377</v>
      </c>
      <c r="S364" s="369" t="s">
        <v>76</v>
      </c>
      <c r="T364" s="531">
        <v>1</v>
      </c>
      <c r="U364" s="1650">
        <v>37547</v>
      </c>
      <c r="V364" s="532" t="s">
        <v>407</v>
      </c>
      <c r="W364" s="532" t="s">
        <v>545</v>
      </c>
      <c r="X364" s="845">
        <f t="shared" ca="1" si="25"/>
        <v>10.258333333333333</v>
      </c>
      <c r="Y364" s="48">
        <v>352</v>
      </c>
    </row>
    <row r="365" spans="1:25" ht="12" customHeight="1">
      <c r="A365" s="48"/>
      <c r="B365" s="553" t="s">
        <v>47</v>
      </c>
      <c r="C365" s="885" t="s">
        <v>562</v>
      </c>
      <c r="D365" s="547"/>
      <c r="E365" s="2306">
        <f t="shared" si="23"/>
        <v>2862244858</v>
      </c>
      <c r="F365" s="3090">
        <f t="shared" si="24"/>
        <v>187.35195677623341</v>
      </c>
      <c r="G365" s="2390"/>
      <c r="H365" s="1751"/>
      <c r="I365" s="1703">
        <v>123740275</v>
      </c>
      <c r="J365" s="1687">
        <v>156683423</v>
      </c>
      <c r="K365" s="1687">
        <v>26036648</v>
      </c>
      <c r="L365" s="1687">
        <v>460939462</v>
      </c>
      <c r="M365" s="1687">
        <v>609160704</v>
      </c>
      <c r="N365" s="1687">
        <v>492148736</v>
      </c>
      <c r="O365" s="1689">
        <v>524743104</v>
      </c>
      <c r="P365" s="1687">
        <v>69265389</v>
      </c>
      <c r="Q365" s="1687">
        <v>399527117</v>
      </c>
      <c r="R365" s="365" t="s">
        <v>563</v>
      </c>
      <c r="S365" s="371" t="s">
        <v>185</v>
      </c>
      <c r="T365" s="541">
        <v>1</v>
      </c>
      <c r="U365" s="1656">
        <v>34318</v>
      </c>
      <c r="V365" s="527" t="s">
        <v>89</v>
      </c>
      <c r="W365" s="527" t="s">
        <v>139</v>
      </c>
      <c r="X365" s="844">
        <f t="shared" ca="1" si="25"/>
        <v>19.100000000000001</v>
      </c>
      <c r="Y365" s="48"/>
    </row>
    <row r="366" spans="1:25" ht="12" customHeight="1">
      <c r="A366" s="48">
        <v>354</v>
      </c>
      <c r="B366" s="528" t="s">
        <v>47</v>
      </c>
      <c r="C366" s="380" t="s">
        <v>1274</v>
      </c>
      <c r="D366" s="561"/>
      <c r="E366" s="2302">
        <f t="shared" si="23"/>
        <v>2371263439</v>
      </c>
      <c r="F366" s="3090">
        <f t="shared" si="24"/>
        <v>188.70715638682765</v>
      </c>
      <c r="G366" s="2398">
        <f>410+550+0+1518+2333+1835+899+218+1349</f>
        <v>9112</v>
      </c>
      <c r="H366" s="1764"/>
      <c r="I366" s="1678">
        <v>95143059</v>
      </c>
      <c r="J366" s="1697">
        <v>112843675</v>
      </c>
      <c r="K366" s="1697">
        <v>18002655</v>
      </c>
      <c r="L366" s="1697">
        <v>304220495</v>
      </c>
      <c r="M366" s="1697">
        <v>610169522</v>
      </c>
      <c r="N366" s="1697">
        <v>504299398</v>
      </c>
      <c r="O366" s="1697">
        <v>333363963</v>
      </c>
      <c r="P366" s="1697">
        <v>209375744</v>
      </c>
      <c r="Q366" s="1697">
        <v>183844928</v>
      </c>
      <c r="R366" s="381" t="s">
        <v>548</v>
      </c>
      <c r="S366" s="382" t="s">
        <v>76</v>
      </c>
      <c r="T366" s="557">
        <v>1</v>
      </c>
      <c r="U366" s="1649">
        <v>41028</v>
      </c>
      <c r="V366" s="2596" t="s">
        <v>138</v>
      </c>
      <c r="W366" s="558" t="s">
        <v>188</v>
      </c>
      <c r="X366" s="845">
        <f t="shared" ca="1" si="25"/>
        <v>0.72777777777777775</v>
      </c>
      <c r="Y366" s="48">
        <v>354</v>
      </c>
    </row>
    <row r="367" spans="1:25" ht="12" customHeight="1">
      <c r="B367" s="1349" t="s">
        <v>1820</v>
      </c>
      <c r="C367" s="884" t="s">
        <v>584</v>
      </c>
      <c r="D367" s="534"/>
      <c r="E367" s="1756">
        <f t="shared" si="23"/>
        <v>2970299068</v>
      </c>
      <c r="F367" s="3090">
        <f t="shared" si="24"/>
        <v>190.25119479082159</v>
      </c>
      <c r="G367" s="2381"/>
      <c r="H367" s="1747"/>
      <c r="I367" s="1603">
        <v>123740258</v>
      </c>
      <c r="J367" s="1674">
        <v>156683447</v>
      </c>
      <c r="K367" s="1674">
        <v>26596694</v>
      </c>
      <c r="L367" s="1674">
        <v>460939485</v>
      </c>
      <c r="M367" s="1674">
        <v>662897933</v>
      </c>
      <c r="N367" s="1674">
        <v>545905595</v>
      </c>
      <c r="O367" s="1604">
        <v>524743137</v>
      </c>
      <c r="P367" s="1674">
        <v>69265377</v>
      </c>
      <c r="Q367" s="1674">
        <v>399527142</v>
      </c>
      <c r="R367" s="368" t="s">
        <v>585</v>
      </c>
      <c r="S367" s="369" t="s">
        <v>185</v>
      </c>
      <c r="T367" s="531">
        <v>1</v>
      </c>
      <c r="U367" s="1650">
        <v>35976</v>
      </c>
      <c r="V367" s="532" t="s">
        <v>138</v>
      </c>
      <c r="W367" s="532" t="s">
        <v>139</v>
      </c>
      <c r="X367" s="844">
        <f t="shared" ca="1" si="25"/>
        <v>14.558333333333334</v>
      </c>
    </row>
    <row r="368" spans="1:25" ht="12" customHeight="1">
      <c r="A368" s="48">
        <v>356</v>
      </c>
      <c r="B368" s="546" t="s">
        <v>47</v>
      </c>
      <c r="C368" s="889" t="s">
        <v>582</v>
      </c>
      <c r="D368" s="540"/>
      <c r="E368" s="1759">
        <f t="shared" si="23"/>
        <v>2970299185</v>
      </c>
      <c r="F368" s="3090">
        <f t="shared" si="24"/>
        <v>190.25121497903791</v>
      </c>
      <c r="G368" s="2381"/>
      <c r="H368" s="1747"/>
      <c r="I368" s="1603">
        <v>123740271</v>
      </c>
      <c r="J368" s="1674">
        <v>156683460</v>
      </c>
      <c r="K368" s="1674">
        <v>26596707</v>
      </c>
      <c r="L368" s="1674">
        <v>460939498</v>
      </c>
      <c r="M368" s="1674">
        <v>662897946</v>
      </c>
      <c r="N368" s="1674">
        <v>545905608</v>
      </c>
      <c r="O368" s="1604">
        <v>524743150</v>
      </c>
      <c r="P368" s="1674">
        <v>69265390</v>
      </c>
      <c r="Q368" s="1674">
        <v>399527155</v>
      </c>
      <c r="R368" s="368" t="s">
        <v>583</v>
      </c>
      <c r="S368" s="369" t="s">
        <v>185</v>
      </c>
      <c r="T368" s="531">
        <v>1</v>
      </c>
      <c r="U368" s="1650">
        <v>34845</v>
      </c>
      <c r="V368" s="532" t="s">
        <v>89</v>
      </c>
      <c r="W368" s="532" t="s">
        <v>139</v>
      </c>
      <c r="X368" s="845">
        <f t="shared" ca="1" si="25"/>
        <v>17.652777777777779</v>
      </c>
      <c r="Y368" s="48">
        <v>356</v>
      </c>
    </row>
    <row r="369" spans="1:25" ht="12" customHeight="1">
      <c r="A369" s="48"/>
      <c r="B369" s="548" t="s">
        <v>47</v>
      </c>
      <c r="C369" s="895" t="s">
        <v>1187</v>
      </c>
      <c r="D369" s="2476"/>
      <c r="E369" s="2307">
        <f t="shared" si="23"/>
        <v>2970403056</v>
      </c>
      <c r="F369" s="3090">
        <f t="shared" si="24"/>
        <v>190.2850041532657</v>
      </c>
      <c r="G369" s="2393"/>
      <c r="H369" s="1704"/>
      <c r="I369" s="1702">
        <v>123757096</v>
      </c>
      <c r="J369" s="1689">
        <v>156683423</v>
      </c>
      <c r="K369" s="1689">
        <v>26596670</v>
      </c>
      <c r="L369" s="1689">
        <v>460939462</v>
      </c>
      <c r="M369" s="1689">
        <v>662897773</v>
      </c>
      <c r="N369" s="1689">
        <v>545905568</v>
      </c>
      <c r="O369" s="1689">
        <v>524743071</v>
      </c>
      <c r="P369" s="1689">
        <v>69352702</v>
      </c>
      <c r="Q369" s="1689">
        <v>399527291</v>
      </c>
      <c r="R369" s="2546" t="s">
        <v>1186</v>
      </c>
      <c r="S369" s="384" t="s">
        <v>185</v>
      </c>
      <c r="T369" s="550">
        <v>1</v>
      </c>
      <c r="U369" s="2583">
        <v>34156</v>
      </c>
      <c r="V369" s="555" t="s">
        <v>138</v>
      </c>
      <c r="W369" s="555" t="s">
        <v>138</v>
      </c>
      <c r="X369" s="844">
        <f t="shared" ca="1" si="25"/>
        <v>19.541666666666668</v>
      </c>
      <c r="Y369" s="48"/>
    </row>
    <row r="370" spans="1:25" ht="12" customHeight="1">
      <c r="A370" s="48">
        <v>358</v>
      </c>
      <c r="B370" s="530" t="s">
        <v>47</v>
      </c>
      <c r="C370" s="366" t="s">
        <v>564</v>
      </c>
      <c r="D370" s="529"/>
      <c r="E370" s="2304">
        <f t="shared" si="23"/>
        <v>2830169836</v>
      </c>
      <c r="F370" s="3090">
        <f t="shared" si="24"/>
        <v>190.45528055321569</v>
      </c>
      <c r="G370" s="2388"/>
      <c r="H370" s="1749"/>
      <c r="I370" s="1608">
        <v>147111755</v>
      </c>
      <c r="J370" s="1612">
        <v>186196824</v>
      </c>
      <c r="K370" s="1612">
        <v>19767092</v>
      </c>
      <c r="L370" s="1612">
        <v>432499963</v>
      </c>
      <c r="M370" s="1612">
        <v>609160705</v>
      </c>
      <c r="N370" s="1612">
        <v>492148737</v>
      </c>
      <c r="O370" s="1697">
        <v>479686070</v>
      </c>
      <c r="P370" s="1612">
        <v>77435107</v>
      </c>
      <c r="Q370" s="1612">
        <v>386163583</v>
      </c>
      <c r="R370" s="360" t="s">
        <v>152</v>
      </c>
      <c r="S370" s="361" t="s">
        <v>76</v>
      </c>
      <c r="T370" s="519">
        <v>1</v>
      </c>
      <c r="U370" s="1655">
        <v>38620</v>
      </c>
      <c r="V370" s="520" t="s">
        <v>82</v>
      </c>
      <c r="W370" s="520" t="s">
        <v>554</v>
      </c>
      <c r="X370" s="845">
        <f t="shared" ca="1" si="25"/>
        <v>7.322222222222222</v>
      </c>
      <c r="Y370" s="48">
        <v>358</v>
      </c>
    </row>
    <row r="371" spans="1:25" ht="12" customHeight="1">
      <c r="B371" s="533" t="s">
        <v>47</v>
      </c>
      <c r="C371" s="884" t="s">
        <v>508</v>
      </c>
      <c r="D371" s="540"/>
      <c r="E371" s="1756">
        <f t="shared" si="23"/>
        <v>2880652705</v>
      </c>
      <c r="F371" s="3090">
        <f t="shared" si="24"/>
        <v>190.66909799841088</v>
      </c>
      <c r="G371" s="2381"/>
      <c r="H371" s="1747"/>
      <c r="I371" s="1603">
        <v>155671998</v>
      </c>
      <c r="J371" s="1674">
        <v>226438387</v>
      </c>
      <c r="K371" s="1674">
        <v>21356174</v>
      </c>
      <c r="L371" s="1674">
        <v>635167573</v>
      </c>
      <c r="M371" s="1674">
        <v>593714653</v>
      </c>
      <c r="N371" s="1674">
        <v>492262742</v>
      </c>
      <c r="O371" s="1604">
        <v>376985641</v>
      </c>
      <c r="P371" s="1674">
        <v>55093521</v>
      </c>
      <c r="Q371" s="1674">
        <v>323962016</v>
      </c>
      <c r="R371" s="368" t="s">
        <v>509</v>
      </c>
      <c r="S371" s="369" t="s">
        <v>185</v>
      </c>
      <c r="T371" s="531">
        <v>1</v>
      </c>
      <c r="U371" s="1647">
        <v>35201</v>
      </c>
      <c r="V371" s="532" t="s">
        <v>435</v>
      </c>
      <c r="W371" s="532" t="s">
        <v>485</v>
      </c>
      <c r="X371" s="844">
        <f t="shared" ca="1" si="25"/>
        <v>16.680555555555557</v>
      </c>
    </row>
    <row r="372" spans="1:25" ht="12" customHeight="1">
      <c r="A372" s="48">
        <v>360</v>
      </c>
      <c r="B372" s="521" t="s">
        <v>47</v>
      </c>
      <c r="C372" s="364" t="s">
        <v>811</v>
      </c>
      <c r="D372" s="522"/>
      <c r="E372" s="1758">
        <f t="shared" si="23"/>
        <v>3077792090</v>
      </c>
      <c r="F372" s="3090">
        <f t="shared" si="24"/>
        <v>191.89327154714724</v>
      </c>
      <c r="G372" s="2382"/>
      <c r="H372" s="1755"/>
      <c r="I372" s="1681">
        <v>87281823</v>
      </c>
      <c r="J372" s="1604">
        <v>101416893</v>
      </c>
      <c r="K372" s="1604">
        <v>19653498</v>
      </c>
      <c r="L372" s="1604">
        <v>345657866</v>
      </c>
      <c r="M372" s="1604">
        <v>593203109</v>
      </c>
      <c r="N372" s="1604">
        <v>488417712</v>
      </c>
      <c r="O372" s="1604">
        <v>399869603</v>
      </c>
      <c r="P372" s="1604">
        <v>42291586</v>
      </c>
      <c r="Q372" s="1604">
        <v>1000000000</v>
      </c>
      <c r="R372" s="363" t="s">
        <v>812</v>
      </c>
      <c r="S372" s="309" t="s">
        <v>76</v>
      </c>
      <c r="T372" s="523">
        <v>1</v>
      </c>
      <c r="U372" s="1646">
        <v>39994</v>
      </c>
      <c r="V372" s="524" t="s">
        <v>86</v>
      </c>
      <c r="W372" s="524" t="s">
        <v>1059</v>
      </c>
      <c r="X372" s="845">
        <f t="shared" ca="1" si="25"/>
        <v>3.5583333333333331</v>
      </c>
      <c r="Y372" s="48">
        <v>360</v>
      </c>
    </row>
    <row r="373" spans="1:25" ht="12" customHeight="1">
      <c r="B373" s="553" t="s">
        <v>47</v>
      </c>
      <c r="C373" s="885" t="s">
        <v>561</v>
      </c>
      <c r="D373" s="547"/>
      <c r="E373" s="2306">
        <f t="shared" si="23"/>
        <v>2867656477</v>
      </c>
      <c r="F373" s="3090">
        <f t="shared" si="24"/>
        <v>191.68786827469739</v>
      </c>
      <c r="G373" s="2390"/>
      <c r="H373" s="1751"/>
      <c r="I373" s="1703">
        <v>136113275</v>
      </c>
      <c r="J373" s="1687">
        <v>173625961</v>
      </c>
      <c r="K373" s="1687">
        <v>20447098</v>
      </c>
      <c r="L373" s="1687">
        <v>426542920</v>
      </c>
      <c r="M373" s="1687">
        <v>609160745</v>
      </c>
      <c r="N373" s="1687">
        <v>492148777</v>
      </c>
      <c r="O373" s="1689">
        <v>494484725</v>
      </c>
      <c r="P373" s="1687">
        <v>78828772</v>
      </c>
      <c r="Q373" s="1687">
        <v>436304204</v>
      </c>
      <c r="R373" s="365" t="s">
        <v>394</v>
      </c>
      <c r="S373" s="371" t="s">
        <v>185</v>
      </c>
      <c r="T373" s="541">
        <v>1</v>
      </c>
      <c r="U373" s="1654">
        <v>33154</v>
      </c>
      <c r="V373" s="527" t="s">
        <v>89</v>
      </c>
      <c r="W373" s="527" t="s">
        <v>139</v>
      </c>
      <c r="X373" s="844">
        <f t="shared" ca="1" si="25"/>
        <v>22.286111111111111</v>
      </c>
    </row>
    <row r="374" spans="1:25" ht="12" customHeight="1">
      <c r="A374" s="48">
        <v>362</v>
      </c>
      <c r="B374" s="1348" t="s">
        <v>1820</v>
      </c>
      <c r="C374" s="886" t="s">
        <v>559</v>
      </c>
      <c r="D374" s="529"/>
      <c r="E374" s="2304">
        <f t="shared" si="23"/>
        <v>2904550258</v>
      </c>
      <c r="F374" s="3090">
        <f t="shared" si="24"/>
        <v>192.2420844828078</v>
      </c>
      <c r="G374" s="2388"/>
      <c r="H374" s="1749"/>
      <c r="I374" s="1608">
        <v>144542342</v>
      </c>
      <c r="J374" s="1612">
        <v>156721691</v>
      </c>
      <c r="K374" s="1612">
        <v>26596818</v>
      </c>
      <c r="L374" s="1612">
        <v>503220158</v>
      </c>
      <c r="M374" s="1612">
        <v>609160812</v>
      </c>
      <c r="N374" s="1612">
        <v>492148854</v>
      </c>
      <c r="O374" s="1697">
        <v>499915176</v>
      </c>
      <c r="P374" s="1612">
        <v>69703966</v>
      </c>
      <c r="Q374" s="1612">
        <v>402540441</v>
      </c>
      <c r="R374" s="864" t="s">
        <v>143</v>
      </c>
      <c r="S374" s="867" t="s">
        <v>185</v>
      </c>
      <c r="T374" s="871">
        <v>1</v>
      </c>
      <c r="U374" s="1662">
        <v>32947</v>
      </c>
      <c r="V374" s="874" t="s">
        <v>89</v>
      </c>
      <c r="W374" s="520" t="s">
        <v>560</v>
      </c>
      <c r="X374" s="845">
        <f t="shared" ca="1" si="25"/>
        <v>22.85</v>
      </c>
      <c r="Y374" s="48">
        <v>362</v>
      </c>
    </row>
    <row r="375" spans="1:25" ht="12" customHeight="1">
      <c r="B375" s="533" t="s">
        <v>47</v>
      </c>
      <c r="C375" s="884" t="s">
        <v>565</v>
      </c>
      <c r="D375" s="525" t="s">
        <v>46</v>
      </c>
      <c r="E375" s="1756">
        <f t="shared" si="23"/>
        <v>2877407241</v>
      </c>
      <c r="F375" s="3090">
        <f t="shared" si="24"/>
        <v>192.78920704708972</v>
      </c>
      <c r="G375" s="2381"/>
      <c r="H375" s="1747"/>
      <c r="I375" s="1681">
        <v>137494790</v>
      </c>
      <c r="J375" s="1604">
        <v>174809940</v>
      </c>
      <c r="K375" s="1604">
        <v>20401668</v>
      </c>
      <c r="L375" s="1604">
        <v>436030884</v>
      </c>
      <c r="M375" s="1604">
        <v>609160707</v>
      </c>
      <c r="N375" s="1604">
        <v>492148739</v>
      </c>
      <c r="O375" s="1604">
        <v>490673754</v>
      </c>
      <c r="P375" s="1604">
        <v>80097169</v>
      </c>
      <c r="Q375" s="1604">
        <v>436589590</v>
      </c>
      <c r="R375" s="368" t="s">
        <v>566</v>
      </c>
      <c r="S375" s="369" t="s">
        <v>185</v>
      </c>
      <c r="T375" s="531">
        <v>1</v>
      </c>
      <c r="U375" s="1647">
        <v>35297</v>
      </c>
      <c r="V375" s="532" t="s">
        <v>86</v>
      </c>
      <c r="W375" s="532" t="s">
        <v>567</v>
      </c>
      <c r="X375" s="844">
        <f t="shared" ca="1" si="25"/>
        <v>16.419444444444444</v>
      </c>
    </row>
    <row r="376" spans="1:25" ht="12" customHeight="1">
      <c r="A376" s="48">
        <v>364</v>
      </c>
      <c r="B376" s="1444" t="s">
        <v>47</v>
      </c>
      <c r="C376" s="861" t="s">
        <v>887</v>
      </c>
      <c r="D376" s="2480"/>
      <c r="E376" s="1771">
        <f t="shared" si="23"/>
        <v>2882515656</v>
      </c>
      <c r="F376" s="3090">
        <f t="shared" si="24"/>
        <v>193.62341933545213</v>
      </c>
      <c r="G376" s="2392">
        <f>7.13+24.086+0+32.245+21.559+11.575+14.398+33.4+24.5</f>
        <v>168.893</v>
      </c>
      <c r="H376" s="1755"/>
      <c r="I376" s="1603">
        <v>124960367</v>
      </c>
      <c r="J376" s="1604">
        <v>162368147</v>
      </c>
      <c r="K376" s="1604">
        <v>32389525</v>
      </c>
      <c r="L376" s="1604">
        <v>462059456</v>
      </c>
      <c r="M376" s="1604">
        <v>608872478</v>
      </c>
      <c r="N376" s="1604">
        <v>491191099</v>
      </c>
      <c r="O376" s="1604">
        <v>533570647</v>
      </c>
      <c r="P376" s="1604">
        <v>71610827</v>
      </c>
      <c r="Q376" s="1604">
        <v>395493110</v>
      </c>
      <c r="R376" s="386" t="s">
        <v>888</v>
      </c>
      <c r="S376" s="387" t="s">
        <v>72</v>
      </c>
      <c r="T376" s="1486">
        <v>8</v>
      </c>
      <c r="U376" s="1661">
        <v>40444</v>
      </c>
      <c r="V376" s="564" t="s">
        <v>557</v>
      </c>
      <c r="W376" s="564" t="s">
        <v>472</v>
      </c>
      <c r="X376" s="845">
        <f t="shared" ca="1" si="25"/>
        <v>2.3277777777777779</v>
      </c>
      <c r="Y376" s="48">
        <v>364</v>
      </c>
    </row>
    <row r="377" spans="1:25" ht="12" customHeight="1">
      <c r="B377" s="553" t="s">
        <v>47</v>
      </c>
      <c r="C377" s="885" t="s">
        <v>571</v>
      </c>
      <c r="D377" s="547"/>
      <c r="E377" s="2306">
        <f t="shared" si="23"/>
        <v>2927187284</v>
      </c>
      <c r="F377" s="3090">
        <f t="shared" si="24"/>
        <v>193.87457785345933</v>
      </c>
      <c r="G377" s="2390"/>
      <c r="H377" s="1751"/>
      <c r="I377" s="1703">
        <v>107169879</v>
      </c>
      <c r="J377" s="1687">
        <v>141176080</v>
      </c>
      <c r="K377" s="1687">
        <v>21167100</v>
      </c>
      <c r="L377" s="1687">
        <v>406530237</v>
      </c>
      <c r="M377" s="1687">
        <v>609160873</v>
      </c>
      <c r="N377" s="1687">
        <v>489213065</v>
      </c>
      <c r="O377" s="1689">
        <v>565989042</v>
      </c>
      <c r="P377" s="1687">
        <v>93353819</v>
      </c>
      <c r="Q377" s="1687">
        <v>493427189</v>
      </c>
      <c r="R377" s="365" t="s">
        <v>572</v>
      </c>
      <c r="S377" s="371" t="s">
        <v>185</v>
      </c>
      <c r="T377" s="541">
        <v>1</v>
      </c>
      <c r="U377" s="1654">
        <v>33428</v>
      </c>
      <c r="V377" s="527" t="s">
        <v>573</v>
      </c>
      <c r="W377" s="527" t="s">
        <v>139</v>
      </c>
      <c r="X377" s="844">
        <f t="shared" ca="1" si="25"/>
        <v>21.533333333333335</v>
      </c>
    </row>
    <row r="378" spans="1:25" ht="12" customHeight="1">
      <c r="A378" s="48">
        <v>366</v>
      </c>
      <c r="B378" s="1348" t="s">
        <v>1820</v>
      </c>
      <c r="C378" s="2446" t="s">
        <v>574</v>
      </c>
      <c r="D378" s="518"/>
      <c r="E378" s="2304">
        <f t="shared" ref="E378:E437" si="26">SUM(I378:Q378)</f>
        <v>2998494893</v>
      </c>
      <c r="F378" s="3090">
        <f t="shared" ref="F378:F437" si="27">SUM(I378/I$11,J378/J$11,K378/K$11,L378/L$11,M378/M$11,N378/N$11,O378/O$11,P378/P$11,Q378/Q$11)/9*100</f>
        <v>194.37334990382757</v>
      </c>
      <c r="G378" s="2388"/>
      <c r="H378" s="1749"/>
      <c r="I378" s="1608">
        <v>135828958</v>
      </c>
      <c r="J378" s="1612">
        <v>156721691</v>
      </c>
      <c r="K378" s="1612">
        <v>20440229</v>
      </c>
      <c r="L378" s="1612">
        <v>503220158</v>
      </c>
      <c r="M378" s="1612">
        <v>596575957</v>
      </c>
      <c r="N378" s="1612">
        <v>492148854</v>
      </c>
      <c r="O378" s="1697">
        <v>581732771</v>
      </c>
      <c r="P378" s="1612">
        <v>73991782</v>
      </c>
      <c r="Q378" s="1612">
        <v>437834493</v>
      </c>
      <c r="R378" s="360" t="s">
        <v>143</v>
      </c>
      <c r="S378" s="361" t="s">
        <v>185</v>
      </c>
      <c r="T378" s="519">
        <v>1</v>
      </c>
      <c r="U378" s="1653">
        <v>32573</v>
      </c>
      <c r="V378" s="520" t="s">
        <v>89</v>
      </c>
      <c r="W378" s="520" t="s">
        <v>575</v>
      </c>
      <c r="X378" s="845">
        <f t="shared" ca="1" si="25"/>
        <v>23.875</v>
      </c>
      <c r="Y378" s="48">
        <v>366</v>
      </c>
    </row>
    <row r="379" spans="1:25" ht="12" customHeight="1">
      <c r="B379" s="1349" t="s">
        <v>1820</v>
      </c>
      <c r="C379" s="370" t="s">
        <v>1112</v>
      </c>
      <c r="D379" s="525" t="s">
        <v>46</v>
      </c>
      <c r="E379" s="1756">
        <f t="shared" si="26"/>
        <v>2948383993</v>
      </c>
      <c r="F379" s="3090">
        <f t="shared" si="27"/>
        <v>199.48191813013685</v>
      </c>
      <c r="G379" s="2381"/>
      <c r="H379" s="1747"/>
      <c r="I379" s="1603">
        <v>140679637</v>
      </c>
      <c r="J379" s="1674">
        <v>195997345</v>
      </c>
      <c r="K379" s="1674">
        <v>20235381</v>
      </c>
      <c r="L379" s="1674">
        <v>473731970</v>
      </c>
      <c r="M379" s="1674">
        <v>609142979</v>
      </c>
      <c r="N379" s="1674">
        <v>492148908</v>
      </c>
      <c r="O379" s="1604">
        <v>506129491</v>
      </c>
      <c r="P379" s="1674">
        <v>83488522</v>
      </c>
      <c r="Q379" s="1674">
        <v>426829760</v>
      </c>
      <c r="R379" s="368" t="s">
        <v>576</v>
      </c>
      <c r="S379" s="369" t="s">
        <v>76</v>
      </c>
      <c r="T379" s="531">
        <v>1</v>
      </c>
      <c r="U379" s="1647">
        <v>32509</v>
      </c>
      <c r="V379" s="532" t="s">
        <v>89</v>
      </c>
      <c r="W379" s="532" t="s">
        <v>551</v>
      </c>
      <c r="X379" s="846">
        <f t="shared" ref="X379:X438" ca="1" si="28">YEARFRAC(U379,X$6)</f>
        <v>24.055555555555557</v>
      </c>
    </row>
    <row r="380" spans="1:25" ht="12" customHeight="1">
      <c r="A380" s="48">
        <v>368</v>
      </c>
      <c r="B380" s="533" t="s">
        <v>47</v>
      </c>
      <c r="C380" s="896" t="s">
        <v>1106</v>
      </c>
      <c r="D380" s="525"/>
      <c r="E380" s="1758">
        <f t="shared" si="26"/>
        <v>2949658352</v>
      </c>
      <c r="F380" s="3090">
        <f t="shared" si="27"/>
        <v>199.89157789545189</v>
      </c>
      <c r="G380" s="2382"/>
      <c r="H380" s="1755"/>
      <c r="I380" s="1681">
        <v>142905051</v>
      </c>
      <c r="J380" s="1604">
        <v>186099051</v>
      </c>
      <c r="K380" s="1604">
        <v>20721038</v>
      </c>
      <c r="L380" s="1674">
        <v>430899690</v>
      </c>
      <c r="M380" s="1604">
        <v>606186456</v>
      </c>
      <c r="N380" s="1604">
        <v>492148797</v>
      </c>
      <c r="O380" s="1604">
        <v>528035592</v>
      </c>
      <c r="P380" s="1604">
        <v>82985191</v>
      </c>
      <c r="Q380" s="1604">
        <v>459677486</v>
      </c>
      <c r="R380" s="363" t="s">
        <v>1104</v>
      </c>
      <c r="S380" s="309" t="s">
        <v>185</v>
      </c>
      <c r="T380" s="523">
        <v>1</v>
      </c>
      <c r="U380" s="1646">
        <v>32939</v>
      </c>
      <c r="V380" s="524" t="s">
        <v>89</v>
      </c>
      <c r="W380" s="524" t="s">
        <v>551</v>
      </c>
      <c r="X380" s="845">
        <f t="shared" ca="1" si="28"/>
        <v>22.872222222222224</v>
      </c>
      <c r="Y380" s="48">
        <v>368</v>
      </c>
    </row>
    <row r="381" spans="1:25" ht="12" customHeight="1">
      <c r="B381" s="535" t="s">
        <v>47</v>
      </c>
      <c r="C381" s="912" t="s">
        <v>547</v>
      </c>
      <c r="D381" s="549" t="s">
        <v>46</v>
      </c>
      <c r="E381" s="2306">
        <f t="shared" si="26"/>
        <v>2836309717</v>
      </c>
      <c r="F381" s="3090">
        <f t="shared" si="27"/>
        <v>200.97106330029581</v>
      </c>
      <c r="G381" s="2504"/>
      <c r="H381" s="1775"/>
      <c r="I381" s="1703">
        <v>144749669</v>
      </c>
      <c r="J381" s="1687">
        <v>200898731</v>
      </c>
      <c r="K381" s="1687">
        <v>18141152</v>
      </c>
      <c r="L381" s="1689">
        <v>424188867</v>
      </c>
      <c r="M381" s="1689">
        <v>599527755</v>
      </c>
      <c r="N381" s="1689">
        <v>486030792</v>
      </c>
      <c r="O381" s="1689">
        <v>413503032</v>
      </c>
      <c r="P381" s="1689">
        <v>102358782</v>
      </c>
      <c r="Q381" s="1689">
        <v>446910937</v>
      </c>
      <c r="R381" s="913" t="s">
        <v>548</v>
      </c>
      <c r="S381" s="915" t="s">
        <v>185</v>
      </c>
      <c r="T381" s="919">
        <v>1</v>
      </c>
      <c r="U381" s="1666">
        <v>33018</v>
      </c>
      <c r="V381" s="920" t="s">
        <v>89</v>
      </c>
      <c r="W381" s="920" t="s">
        <v>457</v>
      </c>
      <c r="X381" s="844">
        <f t="shared" ca="1" si="28"/>
        <v>22.655555555555555</v>
      </c>
    </row>
    <row r="382" spans="1:25" ht="12" customHeight="1">
      <c r="A382" s="48">
        <v>370</v>
      </c>
      <c r="B382" s="2129" t="s">
        <v>47</v>
      </c>
      <c r="C382" s="2130" t="s">
        <v>1279</v>
      </c>
      <c r="D382" s="538"/>
      <c r="E382" s="2301">
        <f t="shared" si="26"/>
        <v>2920930691</v>
      </c>
      <c r="F382" s="3090">
        <f t="shared" si="27"/>
        <v>200.88609975136643</v>
      </c>
      <c r="G382" s="2399">
        <f>3.92+6.08+0+14.86+13.91+10.86+15.63+4.09+18.05</f>
        <v>87.399999999999991</v>
      </c>
      <c r="H382" s="1772"/>
      <c r="I382" s="1612">
        <v>126842371</v>
      </c>
      <c r="J382" s="1697">
        <v>163145709</v>
      </c>
      <c r="K382" s="1612">
        <v>41948736</v>
      </c>
      <c r="L382" s="1612">
        <v>460372409</v>
      </c>
      <c r="M382" s="1612">
        <v>598252514</v>
      </c>
      <c r="N382" s="1612">
        <v>491659686</v>
      </c>
      <c r="O382" s="1697">
        <v>545516169</v>
      </c>
      <c r="P382" s="1697">
        <v>65708379</v>
      </c>
      <c r="Q382" s="1612">
        <v>427484718</v>
      </c>
      <c r="R382" s="866" t="s">
        <v>1278</v>
      </c>
      <c r="S382" s="869" t="s">
        <v>76</v>
      </c>
      <c r="T382" s="873">
        <v>1</v>
      </c>
      <c r="U382" s="1663">
        <v>40621</v>
      </c>
      <c r="V382" s="2595" t="s">
        <v>268</v>
      </c>
      <c r="W382" s="876" t="s">
        <v>1280</v>
      </c>
      <c r="X382" s="845">
        <f t="shared" ca="1" si="28"/>
        <v>1.8388888888888888</v>
      </c>
      <c r="Y382" s="48">
        <v>370</v>
      </c>
    </row>
    <row r="383" spans="1:25" ht="12" customHeight="1">
      <c r="B383" s="533" t="s">
        <v>47</v>
      </c>
      <c r="C383" s="884" t="s">
        <v>555</v>
      </c>
      <c r="D383" s="540"/>
      <c r="E383" s="1756">
        <f t="shared" si="26"/>
        <v>2905612140</v>
      </c>
      <c r="F383" s="3090">
        <f t="shared" si="27"/>
        <v>201.88355103863228</v>
      </c>
      <c r="G383" s="2381"/>
      <c r="H383" s="1747"/>
      <c r="I383" s="1603">
        <v>180620966</v>
      </c>
      <c r="J383" s="1674">
        <v>176645361</v>
      </c>
      <c r="K383" s="1674">
        <v>33644059</v>
      </c>
      <c r="L383" s="1674">
        <v>449838949</v>
      </c>
      <c r="M383" s="1674">
        <v>595402681</v>
      </c>
      <c r="N383" s="1674">
        <v>492148770</v>
      </c>
      <c r="O383" s="1604">
        <v>526388609</v>
      </c>
      <c r="P383" s="1674">
        <v>65513171</v>
      </c>
      <c r="Q383" s="1674">
        <v>385409574</v>
      </c>
      <c r="R383" s="368" t="s">
        <v>556</v>
      </c>
      <c r="S383" s="369" t="s">
        <v>185</v>
      </c>
      <c r="T383" s="531">
        <v>1</v>
      </c>
      <c r="U383" s="1647">
        <v>33213</v>
      </c>
      <c r="V383" s="532" t="s">
        <v>82</v>
      </c>
      <c r="W383" s="532" t="s">
        <v>139</v>
      </c>
      <c r="X383" s="844">
        <f t="shared" ca="1" si="28"/>
        <v>22.125</v>
      </c>
    </row>
    <row r="384" spans="1:25" ht="12" customHeight="1">
      <c r="A384" s="48">
        <v>372</v>
      </c>
      <c r="B384" s="544" t="s">
        <v>47</v>
      </c>
      <c r="C384" s="891" t="s">
        <v>1138</v>
      </c>
      <c r="D384" s="538"/>
      <c r="E384" s="2302">
        <f t="shared" si="26"/>
        <v>3078107450</v>
      </c>
      <c r="F384" s="3090">
        <f t="shared" si="27"/>
        <v>203.10835481570643</v>
      </c>
      <c r="G384" s="2395"/>
      <c r="H384" s="1764"/>
      <c r="I384" s="1678">
        <v>131306955</v>
      </c>
      <c r="J384" s="1697">
        <v>169471045</v>
      </c>
      <c r="K384" s="1697">
        <v>27064977</v>
      </c>
      <c r="L384" s="1697">
        <v>485710305</v>
      </c>
      <c r="M384" s="1697">
        <v>658520037</v>
      </c>
      <c r="N384" s="1697">
        <v>541971227</v>
      </c>
      <c r="O384" s="1697">
        <v>523273961</v>
      </c>
      <c r="P384" s="1697">
        <v>80157839</v>
      </c>
      <c r="Q384" s="1697">
        <v>460631104</v>
      </c>
      <c r="R384" s="372" t="s">
        <v>601</v>
      </c>
      <c r="S384" s="305" t="s">
        <v>185</v>
      </c>
      <c r="T384" s="542">
        <v>1</v>
      </c>
      <c r="U384" s="1651">
        <v>35891</v>
      </c>
      <c r="V384" s="543" t="s">
        <v>89</v>
      </c>
      <c r="W384" s="543" t="s">
        <v>1137</v>
      </c>
      <c r="X384" s="845">
        <f t="shared" ca="1" si="28"/>
        <v>14.791666666666666</v>
      </c>
      <c r="Y384" s="48">
        <v>372</v>
      </c>
    </row>
    <row r="385" spans="1:25" ht="12" customHeight="1">
      <c r="B385" s="521" t="s">
        <v>47</v>
      </c>
      <c r="C385" s="362" t="s">
        <v>618</v>
      </c>
      <c r="D385" s="525" t="s">
        <v>46</v>
      </c>
      <c r="E385" s="1758">
        <f t="shared" si="26"/>
        <v>3390371334</v>
      </c>
      <c r="F385" s="3090">
        <f t="shared" si="27"/>
        <v>205.24986230034693</v>
      </c>
      <c r="G385" s="2381"/>
      <c r="H385" s="1747"/>
      <c r="I385" s="1603">
        <v>148437404</v>
      </c>
      <c r="J385" s="1674">
        <v>182697688</v>
      </c>
      <c r="K385" s="1674">
        <v>25945192</v>
      </c>
      <c r="L385" s="1674">
        <v>477446426</v>
      </c>
      <c r="M385" s="1674">
        <v>853203820</v>
      </c>
      <c r="N385" s="1674">
        <v>697759152</v>
      </c>
      <c r="O385" s="1604">
        <v>573233260</v>
      </c>
      <c r="P385" s="1674">
        <v>65452242</v>
      </c>
      <c r="Q385" s="1674">
        <v>366196150</v>
      </c>
      <c r="R385" s="368" t="s">
        <v>619</v>
      </c>
      <c r="S385" s="369" t="s">
        <v>76</v>
      </c>
      <c r="T385" s="531">
        <v>1</v>
      </c>
      <c r="U385" s="1647">
        <v>39486</v>
      </c>
      <c r="V385" s="532" t="s">
        <v>82</v>
      </c>
      <c r="W385" s="532" t="s">
        <v>620</v>
      </c>
      <c r="X385" s="844">
        <f t="shared" ca="1" si="28"/>
        <v>4.9527777777777775</v>
      </c>
    </row>
    <row r="386" spans="1:25" ht="12" customHeight="1">
      <c r="A386" s="48">
        <v>374</v>
      </c>
      <c r="B386" s="554" t="s">
        <v>47</v>
      </c>
      <c r="C386" s="1461" t="s">
        <v>600</v>
      </c>
      <c r="D386" s="525" t="s">
        <v>46</v>
      </c>
      <c r="E386" s="1770">
        <f t="shared" si="26"/>
        <v>3139020671</v>
      </c>
      <c r="F386" s="3090">
        <f t="shared" si="27"/>
        <v>205.45284363709538</v>
      </c>
      <c r="G386" s="2382"/>
      <c r="H386" s="1755"/>
      <c r="I386" s="1603">
        <v>135789716</v>
      </c>
      <c r="J386" s="1674">
        <v>175805080</v>
      </c>
      <c r="K386" s="1674">
        <v>25836080</v>
      </c>
      <c r="L386" s="1674">
        <v>482895498</v>
      </c>
      <c r="M386" s="1674">
        <v>667582268</v>
      </c>
      <c r="N386" s="1674">
        <v>548309361</v>
      </c>
      <c r="O386" s="1604">
        <v>578394103</v>
      </c>
      <c r="P386" s="1674">
        <v>79552772</v>
      </c>
      <c r="Q386" s="1674">
        <v>444855793</v>
      </c>
      <c r="R386" s="363" t="s">
        <v>601</v>
      </c>
      <c r="S386" s="309" t="s">
        <v>185</v>
      </c>
      <c r="T386" s="523">
        <v>1</v>
      </c>
      <c r="U386" s="1646">
        <v>32605</v>
      </c>
      <c r="V386" s="524" t="s">
        <v>167</v>
      </c>
      <c r="W386" s="524" t="s">
        <v>586</v>
      </c>
      <c r="X386" s="845">
        <f t="shared" ca="1" si="28"/>
        <v>23.788888888888888</v>
      </c>
      <c r="Y386" s="48">
        <v>374</v>
      </c>
    </row>
    <row r="387" spans="1:25" ht="12" customHeight="1">
      <c r="A387" s="48"/>
      <c r="B387" s="548" t="s">
        <v>47</v>
      </c>
      <c r="C387" s="895" t="s">
        <v>1169</v>
      </c>
      <c r="D387" s="549" t="s">
        <v>46</v>
      </c>
      <c r="E387" s="2307">
        <f t="shared" si="26"/>
        <v>3142761176</v>
      </c>
      <c r="F387" s="3090">
        <f t="shared" si="27"/>
        <v>205.69375510410217</v>
      </c>
      <c r="G387" s="2387"/>
      <c r="H387" s="1748"/>
      <c r="I387" s="1702">
        <v>135800558</v>
      </c>
      <c r="J387" s="1689">
        <v>175904392</v>
      </c>
      <c r="K387" s="1687">
        <v>25856305</v>
      </c>
      <c r="L387" s="1687">
        <v>482847137</v>
      </c>
      <c r="M387" s="1687">
        <v>667650771</v>
      </c>
      <c r="N387" s="1687">
        <v>548347945</v>
      </c>
      <c r="O387" s="1689">
        <v>581884317</v>
      </c>
      <c r="P387" s="1689">
        <v>79709522</v>
      </c>
      <c r="Q387" s="1687">
        <v>444760229</v>
      </c>
      <c r="R387" s="376" t="s">
        <v>1168</v>
      </c>
      <c r="S387" s="276" t="s">
        <v>185</v>
      </c>
      <c r="T387" s="550">
        <v>1</v>
      </c>
      <c r="U387" s="1648">
        <v>35103</v>
      </c>
      <c r="V387" s="551" t="s">
        <v>356</v>
      </c>
      <c r="W387" s="555" t="s">
        <v>138</v>
      </c>
      <c r="X387" s="844">
        <f t="shared" ca="1" si="28"/>
        <v>16.952777777777779</v>
      </c>
      <c r="Y387" s="48"/>
    </row>
    <row r="388" spans="1:25" ht="12" customHeight="1">
      <c r="A388" s="48">
        <v>376</v>
      </c>
      <c r="B388" s="530" t="s">
        <v>47</v>
      </c>
      <c r="C388" s="886" t="s">
        <v>1493</v>
      </c>
      <c r="D388" s="529"/>
      <c r="E388" s="2304">
        <f t="shared" si="26"/>
        <v>3148361102</v>
      </c>
      <c r="F388" s="3090">
        <f t="shared" si="27"/>
        <v>206.79876029356433</v>
      </c>
      <c r="G388" s="2388"/>
      <c r="H388" s="1749"/>
      <c r="I388" s="1608">
        <v>137096333</v>
      </c>
      <c r="J388" s="1612">
        <v>177363765</v>
      </c>
      <c r="K388" s="1612">
        <v>25846591</v>
      </c>
      <c r="L388" s="1612">
        <v>483379781</v>
      </c>
      <c r="M388" s="1612">
        <v>667753166</v>
      </c>
      <c r="N388" s="1612">
        <v>548340419</v>
      </c>
      <c r="O388" s="1697">
        <v>578899995</v>
      </c>
      <c r="P388" s="1612">
        <v>81082678</v>
      </c>
      <c r="Q388" s="1612">
        <v>448598374</v>
      </c>
      <c r="R388" s="360" t="s">
        <v>602</v>
      </c>
      <c r="S388" s="361" t="s">
        <v>185</v>
      </c>
      <c r="T388" s="519">
        <v>1</v>
      </c>
      <c r="U388" s="1653">
        <v>33686</v>
      </c>
      <c r="V388" s="520" t="s">
        <v>89</v>
      </c>
      <c r="W388" s="520" t="s">
        <v>139</v>
      </c>
      <c r="X388" s="845">
        <f t="shared" ca="1" si="28"/>
        <v>20.827777777777779</v>
      </c>
      <c r="Y388" s="48">
        <v>376</v>
      </c>
    </row>
    <row r="389" spans="1:25" ht="12" customHeight="1">
      <c r="A389" s="48"/>
      <c r="B389" s="521" t="s">
        <v>47</v>
      </c>
      <c r="C389" s="364" t="s">
        <v>1758</v>
      </c>
      <c r="D389" s="525" t="s">
        <v>46</v>
      </c>
      <c r="E389" s="1758">
        <f t="shared" si="26"/>
        <v>2990087200</v>
      </c>
      <c r="F389" s="3090">
        <f t="shared" si="27"/>
        <v>207.38297976484694</v>
      </c>
      <c r="G389" s="2392">
        <f>1.1+1.9+0+4.89+5.59+3.9+6.2+0.91+9.7</f>
        <v>34.19</v>
      </c>
      <c r="H389" s="1676"/>
      <c r="I389" s="1681">
        <v>129027007</v>
      </c>
      <c r="J389" s="1604">
        <v>165637194</v>
      </c>
      <c r="K389" s="1604">
        <v>40767728</v>
      </c>
      <c r="L389" s="1604">
        <v>487950017</v>
      </c>
      <c r="M389" s="1604">
        <v>594537076</v>
      </c>
      <c r="N389" s="1604">
        <v>489448485</v>
      </c>
      <c r="O389" s="1604">
        <v>544044973</v>
      </c>
      <c r="P389" s="1604">
        <v>73302434</v>
      </c>
      <c r="Q389" s="1604">
        <v>465372286</v>
      </c>
      <c r="R389" s="363" t="s">
        <v>1757</v>
      </c>
      <c r="S389" s="267" t="s">
        <v>76</v>
      </c>
      <c r="T389" s="523">
        <v>1</v>
      </c>
      <c r="U389" s="1646">
        <v>41073</v>
      </c>
      <c r="V389" s="524" t="s">
        <v>86</v>
      </c>
      <c r="W389" s="524" t="s">
        <v>410</v>
      </c>
      <c r="X389" s="844">
        <f t="shared" ca="1" si="28"/>
        <v>0.60555555555555551</v>
      </c>
      <c r="Y389" s="48"/>
    </row>
    <row r="390" spans="1:25" ht="12" customHeight="1">
      <c r="A390" s="48">
        <v>378</v>
      </c>
      <c r="B390" s="521" t="s">
        <v>47</v>
      </c>
      <c r="C390" s="890" t="s">
        <v>1498</v>
      </c>
      <c r="D390" s="525" t="s">
        <v>46</v>
      </c>
      <c r="E390" s="3070">
        <f t="shared" si="26"/>
        <v>3304763010</v>
      </c>
      <c r="F390" s="3090">
        <f t="shared" si="27"/>
        <v>208.77725148536945</v>
      </c>
      <c r="G390" s="2392">
        <f>148+199+0+404+478+388+486+112+519</f>
        <v>2734</v>
      </c>
      <c r="H390" s="1755"/>
      <c r="I390" s="1681">
        <v>151174845</v>
      </c>
      <c r="J390" s="1604">
        <v>195520307</v>
      </c>
      <c r="K390" s="1604">
        <v>20152576</v>
      </c>
      <c r="L390" s="1674">
        <v>467983771</v>
      </c>
      <c r="M390" s="1674">
        <v>803439653</v>
      </c>
      <c r="N390" s="1604">
        <v>653907317</v>
      </c>
      <c r="O390" s="1604">
        <v>505757221</v>
      </c>
      <c r="P390" s="1604">
        <v>83058263</v>
      </c>
      <c r="Q390" s="1604">
        <v>423769057</v>
      </c>
      <c r="R390" s="368" t="s">
        <v>1497</v>
      </c>
      <c r="S390" s="369" t="s">
        <v>185</v>
      </c>
      <c r="T390" s="531">
        <v>1</v>
      </c>
      <c r="U390" s="1646">
        <v>34150</v>
      </c>
      <c r="V390" s="562" t="s">
        <v>138</v>
      </c>
      <c r="W390" s="562" t="s">
        <v>551</v>
      </c>
      <c r="X390" s="845">
        <f t="shared" ca="1" si="28"/>
        <v>19.558333333333334</v>
      </c>
      <c r="Y390" s="48">
        <v>378</v>
      </c>
    </row>
    <row r="391" spans="1:25" ht="12" customHeight="1">
      <c r="A391" s="48"/>
      <c r="B391" s="1347" t="s">
        <v>1820</v>
      </c>
      <c r="C391" s="373" t="s">
        <v>577</v>
      </c>
      <c r="D391" s="549" t="s">
        <v>46</v>
      </c>
      <c r="E391" s="2306">
        <f t="shared" si="26"/>
        <v>3061494804</v>
      </c>
      <c r="F391" s="3090">
        <f t="shared" si="27"/>
        <v>210.63738679416355</v>
      </c>
      <c r="G391" s="2390"/>
      <c r="H391" s="1751"/>
      <c r="I391" s="1703">
        <v>153425224</v>
      </c>
      <c r="J391" s="1687">
        <v>194011924</v>
      </c>
      <c r="K391" s="1687">
        <v>19327176</v>
      </c>
      <c r="L391" s="1687">
        <v>513493911</v>
      </c>
      <c r="M391" s="1687">
        <v>609160720</v>
      </c>
      <c r="N391" s="1687">
        <v>492148757</v>
      </c>
      <c r="O391" s="1689">
        <v>475241310</v>
      </c>
      <c r="P391" s="1687">
        <v>92929403</v>
      </c>
      <c r="Q391" s="1687">
        <v>511756379</v>
      </c>
      <c r="R391" s="365" t="s">
        <v>578</v>
      </c>
      <c r="S391" s="371" t="s">
        <v>76</v>
      </c>
      <c r="T391" s="541">
        <v>1</v>
      </c>
      <c r="U391" s="1654">
        <v>38883</v>
      </c>
      <c r="V391" s="527" t="s">
        <v>268</v>
      </c>
      <c r="W391" s="527" t="s">
        <v>579</v>
      </c>
      <c r="X391" s="844">
        <f t="shared" ca="1" si="28"/>
        <v>6.6</v>
      </c>
      <c r="Y391" s="48"/>
    </row>
    <row r="392" spans="1:25" ht="12" customHeight="1">
      <c r="A392" s="48">
        <v>380</v>
      </c>
      <c r="B392" s="1349" t="s">
        <v>1820</v>
      </c>
      <c r="C392" s="370" t="s">
        <v>580</v>
      </c>
      <c r="D392" s="534"/>
      <c r="E392" s="1756">
        <f t="shared" si="26"/>
        <v>3199915495</v>
      </c>
      <c r="F392" s="3090">
        <f t="shared" si="27"/>
        <v>210.71867151409438</v>
      </c>
      <c r="G392" s="2381"/>
      <c r="H392" s="1747"/>
      <c r="I392" s="1603">
        <v>130017685</v>
      </c>
      <c r="J392" s="1674">
        <v>167591472</v>
      </c>
      <c r="K392" s="1674">
        <v>28127903</v>
      </c>
      <c r="L392" s="1674">
        <v>711358464</v>
      </c>
      <c r="M392" s="1674">
        <v>596131932</v>
      </c>
      <c r="N392" s="1674">
        <v>490929897</v>
      </c>
      <c r="O392" s="1604">
        <v>530311951</v>
      </c>
      <c r="P392" s="1674">
        <v>78565475</v>
      </c>
      <c r="Q392" s="1674">
        <v>466880716</v>
      </c>
      <c r="R392" s="368" t="s">
        <v>581</v>
      </c>
      <c r="S392" s="369" t="s">
        <v>76</v>
      </c>
      <c r="T392" s="531">
        <v>1</v>
      </c>
      <c r="U392" s="1647">
        <v>37466</v>
      </c>
      <c r="V392" s="532" t="s">
        <v>138</v>
      </c>
      <c r="W392" s="532" t="s">
        <v>467</v>
      </c>
      <c r="X392" s="844">
        <f t="shared" ca="1" si="28"/>
        <v>10.477777777777778</v>
      </c>
      <c r="Y392" s="48">
        <v>380</v>
      </c>
    </row>
    <row r="393" spans="1:25" ht="12" customHeight="1">
      <c r="A393" s="48"/>
      <c r="B393" s="2126" t="s">
        <v>1820</v>
      </c>
      <c r="C393" s="2127" t="s">
        <v>1109</v>
      </c>
      <c r="D393" s="2128" t="s">
        <v>46</v>
      </c>
      <c r="E393" s="3067">
        <f t="shared" si="26"/>
        <v>3084544819</v>
      </c>
      <c r="F393" s="3090">
        <f t="shared" si="27"/>
        <v>213.89865472543303</v>
      </c>
      <c r="G393" s="2383"/>
      <c r="H393" s="2085"/>
      <c r="I393" s="1930">
        <v>148355432</v>
      </c>
      <c r="J393" s="1914">
        <v>192652890</v>
      </c>
      <c r="K393" s="1914">
        <v>22853440</v>
      </c>
      <c r="L393" s="1914">
        <v>465607781</v>
      </c>
      <c r="M393" s="1914">
        <v>597441146</v>
      </c>
      <c r="N393" s="1914">
        <v>490637404</v>
      </c>
      <c r="O393" s="1856">
        <v>548036321</v>
      </c>
      <c r="P393" s="1914">
        <v>92845282</v>
      </c>
      <c r="Q393" s="1914">
        <v>526115123</v>
      </c>
      <c r="R393" s="2086" t="s">
        <v>576</v>
      </c>
      <c r="S393" s="2087" t="s">
        <v>76</v>
      </c>
      <c r="T393" s="2088">
        <v>1</v>
      </c>
      <c r="U393" s="2089">
        <v>32509</v>
      </c>
      <c r="V393" s="2091" t="s">
        <v>89</v>
      </c>
      <c r="W393" s="2091" t="s">
        <v>593</v>
      </c>
      <c r="X393" s="2092">
        <f t="shared" ca="1" si="28"/>
        <v>24.055555555555557</v>
      </c>
      <c r="Y393" s="48"/>
    </row>
    <row r="394" spans="1:25" ht="12" customHeight="1">
      <c r="A394" s="48">
        <v>382</v>
      </c>
      <c r="B394" s="2075" t="s">
        <v>47</v>
      </c>
      <c r="C394" s="1462" t="s">
        <v>1139</v>
      </c>
      <c r="D394" s="2131"/>
      <c r="E394" s="2301">
        <f t="shared" si="26"/>
        <v>3141522658</v>
      </c>
      <c r="F394" s="3090">
        <f t="shared" si="27"/>
        <v>214.76877045614756</v>
      </c>
      <c r="G394" s="2405"/>
      <c r="H394" s="2154"/>
      <c r="I394" s="1849">
        <v>158014954</v>
      </c>
      <c r="J394" s="1857">
        <v>200830698</v>
      </c>
      <c r="K394" s="1857">
        <v>20756928</v>
      </c>
      <c r="L394" s="2533">
        <v>519912738</v>
      </c>
      <c r="M394" s="1857">
        <v>609161784</v>
      </c>
      <c r="N394" s="2533">
        <v>492148792</v>
      </c>
      <c r="O394" s="1850">
        <v>575376796</v>
      </c>
      <c r="P394" s="1857">
        <v>90643506</v>
      </c>
      <c r="Q394" s="1857">
        <v>474676462</v>
      </c>
      <c r="R394" s="2076" t="s">
        <v>1140</v>
      </c>
      <c r="S394" s="2133" t="s">
        <v>185</v>
      </c>
      <c r="T394" s="2078">
        <v>1</v>
      </c>
      <c r="U394" s="2587">
        <v>36212</v>
      </c>
      <c r="V394" s="2080" t="s">
        <v>82</v>
      </c>
      <c r="W394" s="2080" t="s">
        <v>410</v>
      </c>
      <c r="X394" s="2081">
        <f t="shared" ca="1" si="28"/>
        <v>13.916666666666666</v>
      </c>
      <c r="Y394" s="48">
        <v>382</v>
      </c>
    </row>
    <row r="395" spans="1:25" ht="12" customHeight="1">
      <c r="A395" s="48"/>
      <c r="B395" s="1349" t="s">
        <v>1820</v>
      </c>
      <c r="C395" s="884" t="s">
        <v>598</v>
      </c>
      <c r="D395" s="2074"/>
      <c r="E395" s="1759">
        <f t="shared" si="26"/>
        <v>3149640157</v>
      </c>
      <c r="F395" s="3090">
        <f t="shared" si="27"/>
        <v>214.90300183686921</v>
      </c>
      <c r="G395" s="2381"/>
      <c r="H395" s="1747"/>
      <c r="I395" s="1776">
        <v>157071201</v>
      </c>
      <c r="J395" s="1674">
        <v>201310872</v>
      </c>
      <c r="K395" s="1674">
        <v>20440229</v>
      </c>
      <c r="L395" s="1674">
        <v>515061428</v>
      </c>
      <c r="M395" s="1674">
        <v>609160812</v>
      </c>
      <c r="N395" s="1674">
        <v>492148854</v>
      </c>
      <c r="O395" s="1604">
        <v>556782402</v>
      </c>
      <c r="P395" s="1674">
        <v>87405414</v>
      </c>
      <c r="Q395" s="1674">
        <v>510258945</v>
      </c>
      <c r="R395" s="368" t="s">
        <v>143</v>
      </c>
      <c r="S395" s="369" t="s">
        <v>185</v>
      </c>
      <c r="T395" s="531">
        <v>1</v>
      </c>
      <c r="U395" s="1647">
        <v>32947</v>
      </c>
      <c r="V395" s="532" t="s">
        <v>89</v>
      </c>
      <c r="W395" s="532" t="s">
        <v>599</v>
      </c>
      <c r="X395" s="844">
        <f t="shared" ca="1" si="28"/>
        <v>22.85</v>
      </c>
      <c r="Y395" s="48"/>
    </row>
    <row r="396" spans="1:25" ht="12" customHeight="1">
      <c r="A396" s="48">
        <v>384</v>
      </c>
      <c r="B396" s="533" t="s">
        <v>47</v>
      </c>
      <c r="C396" s="884" t="s">
        <v>603</v>
      </c>
      <c r="D396" s="2072"/>
      <c r="E396" s="1756">
        <f t="shared" si="26"/>
        <v>3161557579</v>
      </c>
      <c r="F396" s="3090">
        <f t="shared" si="27"/>
        <v>217.75428329014312</v>
      </c>
      <c r="G396" s="2381"/>
      <c r="H396" s="1747"/>
      <c r="I396" s="1674">
        <v>158477767</v>
      </c>
      <c r="J396" s="1674">
        <v>204122002</v>
      </c>
      <c r="K396" s="1674">
        <v>21167053</v>
      </c>
      <c r="L396" s="1674">
        <v>523659439</v>
      </c>
      <c r="M396" s="1674">
        <v>609160704</v>
      </c>
      <c r="N396" s="1674">
        <v>492148856</v>
      </c>
      <c r="O396" s="1604">
        <v>565988995</v>
      </c>
      <c r="P396" s="1674">
        <v>93405621</v>
      </c>
      <c r="Q396" s="1674">
        <v>493427142</v>
      </c>
      <c r="R396" s="368" t="s">
        <v>604</v>
      </c>
      <c r="S396" s="369" t="s">
        <v>185</v>
      </c>
      <c r="T396" s="531">
        <v>1</v>
      </c>
      <c r="U396" s="1647">
        <v>32439</v>
      </c>
      <c r="V396" s="532" t="s">
        <v>605</v>
      </c>
      <c r="W396" s="532" t="s">
        <v>551</v>
      </c>
      <c r="X396" s="844">
        <f t="shared" ca="1" si="28"/>
        <v>24.244444444444444</v>
      </c>
      <c r="Y396" s="48">
        <v>384</v>
      </c>
    </row>
    <row r="397" spans="1:25" ht="12" customHeight="1">
      <c r="B397" s="2152" t="s">
        <v>47</v>
      </c>
      <c r="C397" s="2440" t="s">
        <v>1001</v>
      </c>
      <c r="D397" s="2084"/>
      <c r="E397" s="3066">
        <f t="shared" si="26"/>
        <v>3674322727</v>
      </c>
      <c r="F397" s="3090">
        <f t="shared" si="27"/>
        <v>219.89788646216527</v>
      </c>
      <c r="G397" s="2508">
        <f>6.2+26.8+0+37.1+29.5+14.4+6.9+19.9+15.7</f>
        <v>156.5</v>
      </c>
      <c r="H397" s="2085"/>
      <c r="I397" s="1914">
        <v>151792392</v>
      </c>
      <c r="J397" s="1914">
        <v>187379609</v>
      </c>
      <c r="K397" s="1914">
        <v>26191073</v>
      </c>
      <c r="L397" s="1914">
        <v>526511196</v>
      </c>
      <c r="M397" s="1914">
        <v>908024207</v>
      </c>
      <c r="N397" s="1914">
        <v>745677863</v>
      </c>
      <c r="O397" s="1856">
        <v>666612277</v>
      </c>
      <c r="P397" s="1914">
        <v>72765155</v>
      </c>
      <c r="Q397" s="1914">
        <v>389368955</v>
      </c>
      <c r="R397" s="2086" t="s">
        <v>1000</v>
      </c>
      <c r="S397" s="2562" t="s">
        <v>72</v>
      </c>
      <c r="T397" s="2574">
        <v>8</v>
      </c>
      <c r="U397" s="2089">
        <v>40928</v>
      </c>
      <c r="V397" s="2091" t="s">
        <v>605</v>
      </c>
      <c r="W397" s="2091" t="s">
        <v>410</v>
      </c>
      <c r="X397" s="2092">
        <f t="shared" ca="1" si="28"/>
        <v>1.0027777777777778</v>
      </c>
    </row>
    <row r="398" spans="1:25" ht="12" customHeight="1">
      <c r="A398" s="48">
        <v>386</v>
      </c>
      <c r="B398" s="2142" t="s">
        <v>47</v>
      </c>
      <c r="C398" s="2450" t="s">
        <v>589</v>
      </c>
      <c r="D398" s="2131"/>
      <c r="E398" s="2301">
        <f t="shared" si="26"/>
        <v>3119693151</v>
      </c>
      <c r="F398" s="3090">
        <f t="shared" si="27"/>
        <v>219.28793086398093</v>
      </c>
      <c r="G398" s="2405"/>
      <c r="H398" s="2154"/>
      <c r="I398" s="1850">
        <v>133064253</v>
      </c>
      <c r="J398" s="1850">
        <v>182509000</v>
      </c>
      <c r="K398" s="1850">
        <v>42817612</v>
      </c>
      <c r="L398" s="1850">
        <v>501298621</v>
      </c>
      <c r="M398" s="1850">
        <v>612504017</v>
      </c>
      <c r="N398" s="1850">
        <v>503418867</v>
      </c>
      <c r="O398" s="1850">
        <v>563012167</v>
      </c>
      <c r="P398" s="1850">
        <v>79706045</v>
      </c>
      <c r="Q398" s="1850">
        <v>501362569</v>
      </c>
      <c r="R398" s="2076" t="s">
        <v>590</v>
      </c>
      <c r="S398" s="2133" t="s">
        <v>76</v>
      </c>
      <c r="T398" s="2078">
        <v>1</v>
      </c>
      <c r="U398" s="2079">
        <v>39249</v>
      </c>
      <c r="V398" s="2080" t="s">
        <v>591</v>
      </c>
      <c r="W398" s="2080" t="s">
        <v>592</v>
      </c>
      <c r="X398" s="2081">
        <f t="shared" ca="1" si="28"/>
        <v>5.5972222222222223</v>
      </c>
      <c r="Y398" s="48">
        <v>386</v>
      </c>
    </row>
    <row r="399" spans="1:25" ht="12" customHeight="1">
      <c r="B399" s="521" t="s">
        <v>47</v>
      </c>
      <c r="C399" s="364" t="s">
        <v>1251</v>
      </c>
      <c r="D399" s="2099" t="s">
        <v>46</v>
      </c>
      <c r="E399" s="1758">
        <f t="shared" si="26"/>
        <v>3106950421</v>
      </c>
      <c r="F399" s="3090">
        <f t="shared" si="27"/>
        <v>219.59650510275441</v>
      </c>
      <c r="G399" s="2392">
        <f>1.13+1.65+0+4.4+3.59+2.9+4.2+0.81+5.57</f>
        <v>24.25</v>
      </c>
      <c r="H399" s="1676"/>
      <c r="I399" s="1673">
        <v>132565489</v>
      </c>
      <c r="J399" s="1604">
        <v>185110742</v>
      </c>
      <c r="K399" s="1604">
        <v>42668474</v>
      </c>
      <c r="L399" s="1604">
        <v>493734416</v>
      </c>
      <c r="M399" s="1604">
        <v>612988659</v>
      </c>
      <c r="N399" s="1604">
        <v>503004656</v>
      </c>
      <c r="O399" s="1604">
        <v>554449110</v>
      </c>
      <c r="P399" s="1604">
        <v>82159471</v>
      </c>
      <c r="Q399" s="1604">
        <v>500269404</v>
      </c>
      <c r="R399" s="363" t="s">
        <v>1250</v>
      </c>
      <c r="S399" s="309" t="s">
        <v>76</v>
      </c>
      <c r="T399" s="523">
        <v>1</v>
      </c>
      <c r="U399" s="1646">
        <v>40627</v>
      </c>
      <c r="V399" s="524" t="s">
        <v>84</v>
      </c>
      <c r="W399" s="524" t="s">
        <v>476</v>
      </c>
      <c r="X399" s="844">
        <f t="shared" ca="1" si="28"/>
        <v>1.8222222222222222</v>
      </c>
    </row>
    <row r="400" spans="1:25" ht="12" customHeight="1">
      <c r="A400" s="48">
        <v>388</v>
      </c>
      <c r="B400" s="533" t="s">
        <v>47</v>
      </c>
      <c r="C400" s="884" t="s">
        <v>614</v>
      </c>
      <c r="D400" s="563" t="s">
        <v>46</v>
      </c>
      <c r="E400" s="1756">
        <f t="shared" si="26"/>
        <v>3285028899</v>
      </c>
      <c r="F400" s="3090">
        <f t="shared" si="27"/>
        <v>220.57888992793869</v>
      </c>
      <c r="G400" s="2381"/>
      <c r="H400" s="1747"/>
      <c r="I400" s="1776">
        <v>154247033</v>
      </c>
      <c r="J400" s="1674">
        <v>199571542</v>
      </c>
      <c r="K400" s="1674">
        <v>21047670</v>
      </c>
      <c r="L400" s="1674">
        <v>498362339</v>
      </c>
      <c r="M400" s="1674">
        <v>716031334</v>
      </c>
      <c r="N400" s="1674">
        <v>586158474</v>
      </c>
      <c r="O400" s="1604">
        <v>504918639</v>
      </c>
      <c r="P400" s="1674">
        <v>101283585</v>
      </c>
      <c r="Q400" s="1674">
        <v>503408283</v>
      </c>
      <c r="R400" s="368" t="s">
        <v>615</v>
      </c>
      <c r="S400" s="369" t="s">
        <v>185</v>
      </c>
      <c r="T400" s="531">
        <v>1</v>
      </c>
      <c r="U400" s="1647">
        <v>32610</v>
      </c>
      <c r="V400" s="532" t="s">
        <v>167</v>
      </c>
      <c r="W400" s="532" t="s">
        <v>616</v>
      </c>
      <c r="X400" s="844">
        <f t="shared" ca="1" si="28"/>
        <v>23.774999999999999</v>
      </c>
      <c r="Y400" s="48">
        <v>388</v>
      </c>
    </row>
    <row r="401" spans="1:25" ht="12" customHeight="1">
      <c r="B401" s="2134" t="s">
        <v>47</v>
      </c>
      <c r="C401" s="2440" t="s">
        <v>894</v>
      </c>
      <c r="D401" s="2135"/>
      <c r="E401" s="3071">
        <f t="shared" si="26"/>
        <v>3069579253</v>
      </c>
      <c r="F401" s="3090">
        <f t="shared" si="27"/>
        <v>220.80879476354426</v>
      </c>
      <c r="G401" s="2507">
        <f>0.23+9.33+0+14.06+0.42+4.28+2.76+5.25+4.95</f>
        <v>41.280000000000008</v>
      </c>
      <c r="H401" s="2523"/>
      <c r="I401" s="2166">
        <v>133457737</v>
      </c>
      <c r="J401" s="1914">
        <v>175551121</v>
      </c>
      <c r="K401" s="2164">
        <v>49735205</v>
      </c>
      <c r="L401" s="1914">
        <v>502249984</v>
      </c>
      <c r="M401" s="2164">
        <v>597047012</v>
      </c>
      <c r="N401" s="1914">
        <v>490451302</v>
      </c>
      <c r="O401" s="1856">
        <v>545056550</v>
      </c>
      <c r="P401" s="2164">
        <v>79169451</v>
      </c>
      <c r="Q401" s="2164">
        <v>496860891</v>
      </c>
      <c r="R401" s="2137" t="s">
        <v>879</v>
      </c>
      <c r="S401" s="2138" t="s">
        <v>76</v>
      </c>
      <c r="T401" s="2139">
        <v>1</v>
      </c>
      <c r="U401" s="2140">
        <v>40602</v>
      </c>
      <c r="V401" s="2141" t="s">
        <v>268</v>
      </c>
      <c r="W401" s="2141" t="s">
        <v>410</v>
      </c>
      <c r="X401" s="2092">
        <f t="shared" ca="1" si="28"/>
        <v>1.8916666666666666</v>
      </c>
    </row>
    <row r="402" spans="1:25" ht="12" customHeight="1">
      <c r="A402" s="48">
        <v>390</v>
      </c>
      <c r="B402" s="2142" t="s">
        <v>47</v>
      </c>
      <c r="C402" s="2452" t="s">
        <v>587</v>
      </c>
      <c r="D402" s="2131"/>
      <c r="E402" s="2312">
        <f t="shared" si="26"/>
        <v>3144891202</v>
      </c>
      <c r="F402" s="3090">
        <f t="shared" si="27"/>
        <v>220.8837933465071</v>
      </c>
      <c r="G402" s="2384"/>
      <c r="H402" s="2095"/>
      <c r="I402" s="1849">
        <v>137322438</v>
      </c>
      <c r="J402" s="1850">
        <v>167722116</v>
      </c>
      <c r="K402" s="1850">
        <v>50505418</v>
      </c>
      <c r="L402" s="1850">
        <v>527015726</v>
      </c>
      <c r="M402" s="1850">
        <v>635606772</v>
      </c>
      <c r="N402" s="1850">
        <v>520887712</v>
      </c>
      <c r="O402" s="1850">
        <v>536880618</v>
      </c>
      <c r="P402" s="1850">
        <v>73496510</v>
      </c>
      <c r="Q402" s="1850">
        <v>495453892</v>
      </c>
      <c r="R402" s="2076" t="s">
        <v>416</v>
      </c>
      <c r="S402" s="2133" t="s">
        <v>76</v>
      </c>
      <c r="T402" s="2078">
        <v>1</v>
      </c>
      <c r="U402" s="2079">
        <v>39317</v>
      </c>
      <c r="V402" s="2080" t="s">
        <v>417</v>
      </c>
      <c r="W402" s="2080" t="s">
        <v>588</v>
      </c>
      <c r="X402" s="2081">
        <f t="shared" ca="1" si="28"/>
        <v>5.4111111111111114</v>
      </c>
      <c r="Y402" s="48">
        <v>390</v>
      </c>
    </row>
    <row r="403" spans="1:25" ht="12" customHeight="1">
      <c r="B403" s="2633" t="s">
        <v>47</v>
      </c>
      <c r="C403" s="898" t="s">
        <v>617</v>
      </c>
      <c r="D403" s="2635"/>
      <c r="E403" s="1756">
        <f t="shared" si="26"/>
        <v>3202220404</v>
      </c>
      <c r="F403" s="3090">
        <f t="shared" si="27"/>
        <v>222.79849741855261</v>
      </c>
      <c r="G403" s="2381"/>
      <c r="H403" s="1747"/>
      <c r="I403" s="1776">
        <v>161087322</v>
      </c>
      <c r="J403" s="1674">
        <v>207668511</v>
      </c>
      <c r="K403" s="1674">
        <v>21915166</v>
      </c>
      <c r="L403" s="1674">
        <v>523011059</v>
      </c>
      <c r="M403" s="1674">
        <v>604469287</v>
      </c>
      <c r="N403" s="1674">
        <v>492941891</v>
      </c>
      <c r="O403" s="1604">
        <v>576242256</v>
      </c>
      <c r="P403" s="1674">
        <v>97337581</v>
      </c>
      <c r="Q403" s="1674">
        <v>517547331</v>
      </c>
      <c r="R403" s="368" t="s">
        <v>81</v>
      </c>
      <c r="S403" s="369" t="s">
        <v>185</v>
      </c>
      <c r="T403" s="531">
        <v>1</v>
      </c>
      <c r="U403" s="1665">
        <v>32032</v>
      </c>
      <c r="V403" s="532" t="s">
        <v>605</v>
      </c>
      <c r="W403" s="532" t="s">
        <v>139</v>
      </c>
      <c r="X403" s="844">
        <f t="shared" ca="1" si="28"/>
        <v>25.358333333333334</v>
      </c>
    </row>
    <row r="404" spans="1:25" ht="12" customHeight="1">
      <c r="A404" s="48">
        <v>392</v>
      </c>
      <c r="B404" s="533" t="s">
        <v>47</v>
      </c>
      <c r="C404" s="896" t="s">
        <v>1108</v>
      </c>
      <c r="D404" s="563"/>
      <c r="E404" s="1758">
        <f t="shared" si="26"/>
        <v>3215747986</v>
      </c>
      <c r="F404" s="3090">
        <f t="shared" si="27"/>
        <v>223.29754840697328</v>
      </c>
      <c r="G404" s="2392"/>
      <c r="H404" s="1755"/>
      <c r="I404" s="1673">
        <v>160501123</v>
      </c>
      <c r="J404" s="1604">
        <v>206235519</v>
      </c>
      <c r="K404" s="1604">
        <v>21731417</v>
      </c>
      <c r="L404" s="1674">
        <v>530518796</v>
      </c>
      <c r="M404" s="1604">
        <v>609161757</v>
      </c>
      <c r="N404" s="1604">
        <v>492148770</v>
      </c>
      <c r="O404" s="1604">
        <v>575127899</v>
      </c>
      <c r="P404" s="1604">
        <v>97988096</v>
      </c>
      <c r="Q404" s="1604">
        <v>522334609</v>
      </c>
      <c r="R404" s="363" t="s">
        <v>1107</v>
      </c>
      <c r="S404" s="309" t="s">
        <v>185</v>
      </c>
      <c r="T404" s="523">
        <v>1</v>
      </c>
      <c r="U404" s="1646">
        <v>34820</v>
      </c>
      <c r="V404" s="524" t="s">
        <v>605</v>
      </c>
      <c r="W404" s="524" t="s">
        <v>702</v>
      </c>
      <c r="X404" s="844">
        <f t="shared" ca="1" si="28"/>
        <v>17.722222222222221</v>
      </c>
      <c r="Y404" s="48">
        <v>392</v>
      </c>
    </row>
    <row r="405" spans="1:25" ht="12" customHeight="1">
      <c r="B405" s="2144" t="s">
        <v>47</v>
      </c>
      <c r="C405" s="2440" t="s">
        <v>1780</v>
      </c>
      <c r="D405" s="2148" t="s">
        <v>46</v>
      </c>
      <c r="E405" s="3066">
        <f t="shared" si="26"/>
        <v>3150717112</v>
      </c>
      <c r="F405" s="3090">
        <f t="shared" si="27"/>
        <v>223.57713823431195</v>
      </c>
      <c r="G405" s="2404">
        <f>40+27+0+143+4+2+60+40+209</f>
        <v>525</v>
      </c>
      <c r="H405" s="2150"/>
      <c r="I405" s="1855">
        <v>151870225</v>
      </c>
      <c r="J405" s="1856">
        <v>230895612</v>
      </c>
      <c r="K405" s="1856">
        <v>25303972</v>
      </c>
      <c r="L405" s="1856">
        <v>467001226</v>
      </c>
      <c r="M405" s="1856">
        <v>599506436</v>
      </c>
      <c r="N405" s="1856">
        <v>491869659</v>
      </c>
      <c r="O405" s="1856">
        <v>560257802</v>
      </c>
      <c r="P405" s="1856">
        <v>93575542</v>
      </c>
      <c r="Q405" s="1856">
        <v>530436638</v>
      </c>
      <c r="R405" s="2137" t="s">
        <v>1778</v>
      </c>
      <c r="S405" s="2151" t="s">
        <v>76</v>
      </c>
      <c r="T405" s="2139">
        <v>1</v>
      </c>
      <c r="U405" s="2140">
        <v>40221</v>
      </c>
      <c r="V405" s="2597" t="s">
        <v>138</v>
      </c>
      <c r="W405" s="2141" t="s">
        <v>1779</v>
      </c>
      <c r="X405" s="2092">
        <f t="shared" ca="1" si="28"/>
        <v>2.9416666666666669</v>
      </c>
    </row>
    <row r="406" spans="1:25" ht="12" customHeight="1">
      <c r="A406" s="48">
        <v>394</v>
      </c>
      <c r="B406" s="2129" t="s">
        <v>47</v>
      </c>
      <c r="C406" s="2130" t="s">
        <v>817</v>
      </c>
      <c r="D406" s="2131"/>
      <c r="E406" s="2301">
        <f t="shared" si="26"/>
        <v>3153616510</v>
      </c>
      <c r="F406" s="3090">
        <f t="shared" si="27"/>
        <v>223.33964486633033</v>
      </c>
      <c r="G406" s="2401"/>
      <c r="H406" s="2132"/>
      <c r="I406" s="1849">
        <v>129204064</v>
      </c>
      <c r="J406" s="1850">
        <v>163454076</v>
      </c>
      <c r="K406" s="1857">
        <v>58951992</v>
      </c>
      <c r="L406" s="1857">
        <v>525546879</v>
      </c>
      <c r="M406" s="1857">
        <v>624158052</v>
      </c>
      <c r="N406" s="1857">
        <v>516872723</v>
      </c>
      <c r="O406" s="1850">
        <v>576797521</v>
      </c>
      <c r="P406" s="1850">
        <v>67335329</v>
      </c>
      <c r="Q406" s="1857">
        <v>491295874</v>
      </c>
      <c r="R406" s="2076" t="s">
        <v>816</v>
      </c>
      <c r="S406" s="2133" t="s">
        <v>76</v>
      </c>
      <c r="T406" s="2078">
        <v>1</v>
      </c>
      <c r="U406" s="2079">
        <v>35657</v>
      </c>
      <c r="V406" s="2080" t="s">
        <v>89</v>
      </c>
      <c r="W406" s="2080" t="s">
        <v>174</v>
      </c>
      <c r="X406" s="2081">
        <f t="shared" ca="1" si="28"/>
        <v>15.433333333333334</v>
      </c>
      <c r="Y406" s="48">
        <v>394</v>
      </c>
    </row>
    <row r="407" spans="1:25" ht="12" customHeight="1">
      <c r="B407" s="1349" t="s">
        <v>1820</v>
      </c>
      <c r="C407" s="370" t="s">
        <v>1110</v>
      </c>
      <c r="D407" s="563" t="s">
        <v>46</v>
      </c>
      <c r="E407" s="1756">
        <f t="shared" si="26"/>
        <v>3184759056</v>
      </c>
      <c r="F407" s="3090">
        <f t="shared" si="27"/>
        <v>226.30883055766319</v>
      </c>
      <c r="G407" s="2381"/>
      <c r="H407" s="1747"/>
      <c r="I407" s="1776">
        <v>155272610</v>
      </c>
      <c r="J407" s="1674">
        <v>200909716</v>
      </c>
      <c r="K407" s="1674">
        <v>25304486</v>
      </c>
      <c r="L407" s="1674">
        <v>489626559</v>
      </c>
      <c r="M407" s="1674">
        <v>597903563</v>
      </c>
      <c r="N407" s="1674">
        <v>490803380</v>
      </c>
      <c r="O407" s="1604">
        <v>552448788</v>
      </c>
      <c r="P407" s="1674">
        <v>103774973</v>
      </c>
      <c r="Q407" s="1674">
        <v>568714981</v>
      </c>
      <c r="R407" s="368" t="s">
        <v>576</v>
      </c>
      <c r="S407" s="369" t="s">
        <v>76</v>
      </c>
      <c r="T407" s="531">
        <v>1</v>
      </c>
      <c r="U407" s="1647">
        <v>32509</v>
      </c>
      <c r="V407" s="532" t="s">
        <v>89</v>
      </c>
      <c r="W407" s="532" t="s">
        <v>606</v>
      </c>
      <c r="X407" s="844">
        <f t="shared" ca="1" si="28"/>
        <v>24.055555555555557</v>
      </c>
    </row>
    <row r="408" spans="1:25" ht="12" customHeight="1">
      <c r="A408" s="48">
        <v>396</v>
      </c>
      <c r="B408" s="1346" t="s">
        <v>1820</v>
      </c>
      <c r="C408" s="375" t="s">
        <v>629</v>
      </c>
      <c r="D408" s="2072"/>
      <c r="E408" s="1759">
        <f t="shared" si="26"/>
        <v>3594634389</v>
      </c>
      <c r="F408" s="3090">
        <f t="shared" si="27"/>
        <v>232.57902610411659</v>
      </c>
      <c r="G408" s="2381"/>
      <c r="H408" s="1747"/>
      <c r="I408" s="1776">
        <v>160924215</v>
      </c>
      <c r="J408" s="1674">
        <v>206509238</v>
      </c>
      <c r="K408" s="1674">
        <v>21827618</v>
      </c>
      <c r="L408" s="1674">
        <v>532228408</v>
      </c>
      <c r="M408" s="1674">
        <v>809280806</v>
      </c>
      <c r="N408" s="1674">
        <v>665070456</v>
      </c>
      <c r="O408" s="1676">
        <v>575982829</v>
      </c>
      <c r="P408" s="1674">
        <v>98181472</v>
      </c>
      <c r="Q408" s="1674">
        <v>524629347</v>
      </c>
      <c r="R408" s="368" t="s">
        <v>630</v>
      </c>
      <c r="S408" s="369" t="s">
        <v>76</v>
      </c>
      <c r="T408" s="531">
        <v>1</v>
      </c>
      <c r="U408" s="1647">
        <v>36188</v>
      </c>
      <c r="V408" s="532" t="s">
        <v>268</v>
      </c>
      <c r="W408" s="532" t="s">
        <v>631</v>
      </c>
      <c r="X408" s="844">
        <f t="shared" ca="1" si="28"/>
        <v>13.980555555555556</v>
      </c>
      <c r="Y408" s="48">
        <v>396</v>
      </c>
    </row>
    <row r="409" spans="1:25" ht="12" customHeight="1">
      <c r="B409" s="2152" t="s">
        <v>47</v>
      </c>
      <c r="C409" s="2442" t="s">
        <v>594</v>
      </c>
      <c r="D409" s="2148" t="s">
        <v>46</v>
      </c>
      <c r="E409" s="3067">
        <f t="shared" si="26"/>
        <v>3173443223</v>
      </c>
      <c r="F409" s="3090">
        <f t="shared" si="27"/>
        <v>233.22529251427233</v>
      </c>
      <c r="G409" s="2383"/>
      <c r="H409" s="2085"/>
      <c r="I409" s="1914">
        <v>155108238</v>
      </c>
      <c r="J409" s="1856">
        <v>221616869</v>
      </c>
      <c r="K409" s="1856">
        <v>19811307</v>
      </c>
      <c r="L409" s="1856">
        <v>495303273</v>
      </c>
      <c r="M409" s="1856">
        <v>603191503</v>
      </c>
      <c r="N409" s="1856">
        <v>494813225</v>
      </c>
      <c r="O409" s="1856">
        <v>426346134</v>
      </c>
      <c r="P409" s="1856">
        <v>126010691</v>
      </c>
      <c r="Q409" s="1856">
        <v>631241983</v>
      </c>
      <c r="R409" s="2086" t="s">
        <v>595</v>
      </c>
      <c r="S409" s="2087" t="s">
        <v>76</v>
      </c>
      <c r="T409" s="2088">
        <v>1</v>
      </c>
      <c r="U409" s="2089">
        <v>39431</v>
      </c>
      <c r="V409" s="2091" t="s">
        <v>89</v>
      </c>
      <c r="W409" s="2091" t="s">
        <v>596</v>
      </c>
      <c r="X409" s="2092">
        <f t="shared" ca="1" si="28"/>
        <v>5.0999999999999996</v>
      </c>
    </row>
    <row r="410" spans="1:25" ht="12" customHeight="1">
      <c r="A410" s="48">
        <v>398</v>
      </c>
      <c r="B410" s="2075" t="s">
        <v>47</v>
      </c>
      <c r="C410" s="2130" t="s">
        <v>1764</v>
      </c>
      <c r="D410" s="1471" t="s">
        <v>46</v>
      </c>
      <c r="E410" s="2301">
        <f t="shared" si="26"/>
        <v>3171958718</v>
      </c>
      <c r="F410" s="3090">
        <f t="shared" si="27"/>
        <v>233.29145793154206</v>
      </c>
      <c r="G410" s="2380">
        <f>9.47+12.39+0+29.32+33.99+28.08+26.99+7.16+39.43</f>
        <v>186.83</v>
      </c>
      <c r="H410" s="2012"/>
      <c r="I410" s="1858">
        <v>155095534</v>
      </c>
      <c r="J410" s="1850">
        <v>221407712</v>
      </c>
      <c r="K410" s="1850">
        <v>20015672</v>
      </c>
      <c r="L410" s="1850">
        <v>494997780</v>
      </c>
      <c r="M410" s="1850">
        <v>602838200</v>
      </c>
      <c r="N410" s="1850">
        <v>494512998</v>
      </c>
      <c r="O410" s="1850">
        <v>426133150</v>
      </c>
      <c r="P410" s="1850">
        <v>126109568</v>
      </c>
      <c r="Q410" s="1850">
        <v>630848104</v>
      </c>
      <c r="R410" s="2076" t="s">
        <v>270</v>
      </c>
      <c r="S410" s="2077" t="s">
        <v>76</v>
      </c>
      <c r="T410" s="2078">
        <v>1</v>
      </c>
      <c r="U410" s="2079">
        <v>39556</v>
      </c>
      <c r="V410" s="2080" t="s">
        <v>77</v>
      </c>
      <c r="W410" s="2080" t="s">
        <v>1763</v>
      </c>
      <c r="X410" s="2081">
        <f t="shared" ca="1" si="28"/>
        <v>4.7583333333333337</v>
      </c>
      <c r="Y410" s="48">
        <v>398</v>
      </c>
    </row>
    <row r="411" spans="1:25" ht="12" customHeight="1">
      <c r="B411" s="533"/>
      <c r="C411" s="375" t="s">
        <v>1256</v>
      </c>
      <c r="D411" s="563" t="s">
        <v>46</v>
      </c>
      <c r="E411" s="1759">
        <f t="shared" si="26"/>
        <v>3178488612</v>
      </c>
      <c r="F411" s="3090">
        <f t="shared" si="27"/>
        <v>233.91511498678472</v>
      </c>
      <c r="G411" s="2381"/>
      <c r="H411" s="1747"/>
      <c r="I411" s="1776">
        <v>155495505</v>
      </c>
      <c r="J411" s="1604">
        <v>221883497</v>
      </c>
      <c r="K411" s="1604">
        <v>20237927</v>
      </c>
      <c r="L411" s="1604">
        <v>496183959</v>
      </c>
      <c r="M411" s="1604">
        <v>603730654</v>
      </c>
      <c r="N411" s="1604">
        <v>495218678</v>
      </c>
      <c r="O411" s="1604">
        <v>427197582</v>
      </c>
      <c r="P411" s="1604">
        <v>126387796</v>
      </c>
      <c r="Q411" s="1604">
        <v>632153014</v>
      </c>
      <c r="R411" s="368" t="s">
        <v>597</v>
      </c>
      <c r="S411" s="369" t="s">
        <v>76</v>
      </c>
      <c r="T411" s="531">
        <v>1</v>
      </c>
      <c r="U411" s="1647">
        <v>39544</v>
      </c>
      <c r="V411" s="532" t="s">
        <v>89</v>
      </c>
      <c r="W411" s="532" t="s">
        <v>546</v>
      </c>
      <c r="X411" s="844">
        <f t="shared" ca="1" si="28"/>
        <v>4.791666666666667</v>
      </c>
    </row>
    <row r="412" spans="1:25" ht="12" customHeight="1">
      <c r="A412" s="48">
        <v>400</v>
      </c>
      <c r="B412" s="533" t="s">
        <v>47</v>
      </c>
      <c r="C412" s="884" t="s">
        <v>607</v>
      </c>
      <c r="D412" s="2072"/>
      <c r="E412" s="1756">
        <f t="shared" si="26"/>
        <v>3249749110</v>
      </c>
      <c r="F412" s="3090">
        <f t="shared" si="27"/>
        <v>237.76562186468024</v>
      </c>
      <c r="G412" s="2381"/>
      <c r="H412" s="1747"/>
      <c r="I412" s="1776">
        <v>149330061</v>
      </c>
      <c r="J412" s="1674">
        <v>197444817</v>
      </c>
      <c r="K412" s="1674">
        <v>45667908</v>
      </c>
      <c r="L412" s="1674">
        <v>528530777</v>
      </c>
      <c r="M412" s="1674">
        <v>598375281</v>
      </c>
      <c r="N412" s="1674">
        <v>491269047</v>
      </c>
      <c r="O412" s="1604">
        <v>579447071</v>
      </c>
      <c r="P412" s="1674">
        <v>95096822</v>
      </c>
      <c r="Q412" s="1674">
        <v>564587326</v>
      </c>
      <c r="R412" s="368" t="s">
        <v>608</v>
      </c>
      <c r="S412" s="369" t="s">
        <v>185</v>
      </c>
      <c r="T412" s="531">
        <v>1</v>
      </c>
      <c r="U412" s="1647">
        <v>36240</v>
      </c>
      <c r="V412" s="532" t="s">
        <v>417</v>
      </c>
      <c r="W412" s="532" t="s">
        <v>609</v>
      </c>
      <c r="X412" s="844">
        <f t="shared" ca="1" si="28"/>
        <v>13.833333333333334</v>
      </c>
      <c r="Y412" s="48">
        <v>400</v>
      </c>
    </row>
    <row r="413" spans="1:25" ht="12" customHeight="1">
      <c r="A413" s="48"/>
      <c r="B413" s="2134" t="s">
        <v>47</v>
      </c>
      <c r="C413" s="2441" t="s">
        <v>610</v>
      </c>
      <c r="D413" s="2128" t="s">
        <v>46</v>
      </c>
      <c r="E413" s="3071">
        <f t="shared" si="26"/>
        <v>3266402624</v>
      </c>
      <c r="F413" s="3090">
        <f t="shared" si="27"/>
        <v>239.9776359875128</v>
      </c>
      <c r="G413" s="2402"/>
      <c r="H413" s="2136"/>
      <c r="I413" s="1930">
        <v>151150592</v>
      </c>
      <c r="J413" s="1914">
        <v>197858304</v>
      </c>
      <c r="K413" s="1914">
        <v>45914112</v>
      </c>
      <c r="L413" s="1914">
        <v>536207680</v>
      </c>
      <c r="M413" s="1914">
        <v>597608960</v>
      </c>
      <c r="N413" s="1914">
        <v>490857984</v>
      </c>
      <c r="O413" s="1856">
        <v>573739520</v>
      </c>
      <c r="P413" s="1914">
        <v>97385984</v>
      </c>
      <c r="Q413" s="1914">
        <v>575679488</v>
      </c>
      <c r="R413" s="2137" t="s">
        <v>611</v>
      </c>
      <c r="S413" s="2138" t="s">
        <v>185</v>
      </c>
      <c r="T413" s="2139">
        <v>1</v>
      </c>
      <c r="U413" s="2140">
        <v>33895</v>
      </c>
      <c r="V413" s="2141" t="s">
        <v>89</v>
      </c>
      <c r="W413" s="2141" t="s">
        <v>612</v>
      </c>
      <c r="X413" s="2092">
        <f t="shared" ca="1" si="28"/>
        <v>20.258333333333333</v>
      </c>
      <c r="Y413" s="48"/>
    </row>
    <row r="414" spans="1:25" ht="12" customHeight="1">
      <c r="A414" s="48">
        <v>402</v>
      </c>
      <c r="B414" s="2421" t="s">
        <v>1820</v>
      </c>
      <c r="C414" s="911" t="s">
        <v>824</v>
      </c>
      <c r="D414" s="2094"/>
      <c r="E414" s="2313">
        <f t="shared" si="26"/>
        <v>3311072923</v>
      </c>
      <c r="F414" s="3090">
        <f t="shared" si="27"/>
        <v>243.27209326628187</v>
      </c>
      <c r="G414" s="2384"/>
      <c r="H414" s="2095"/>
      <c r="I414" s="1849">
        <v>161552720</v>
      </c>
      <c r="J414" s="1857">
        <v>227850479</v>
      </c>
      <c r="K414" s="1857">
        <v>21572078</v>
      </c>
      <c r="L414" s="1857">
        <v>529250421</v>
      </c>
      <c r="M414" s="1857">
        <v>630019740</v>
      </c>
      <c r="N414" s="1857">
        <v>517048693</v>
      </c>
      <c r="O414" s="1850">
        <v>430602927</v>
      </c>
      <c r="P414" s="1857">
        <v>130692325</v>
      </c>
      <c r="Q414" s="1857">
        <v>662483540</v>
      </c>
      <c r="R414" s="2096" t="s">
        <v>227</v>
      </c>
      <c r="S414" s="2145" t="s">
        <v>76</v>
      </c>
      <c r="T414" s="2146">
        <v>1</v>
      </c>
      <c r="U414" s="2147">
        <v>36893</v>
      </c>
      <c r="V414" s="2098" t="s">
        <v>138</v>
      </c>
      <c r="W414" s="2098" t="s">
        <v>613</v>
      </c>
      <c r="X414" s="2081">
        <f t="shared" ca="1" si="28"/>
        <v>12.052777777777777</v>
      </c>
      <c r="Y414" s="48">
        <v>402</v>
      </c>
    </row>
    <row r="415" spans="1:25" ht="12" customHeight="1">
      <c r="A415" s="48"/>
      <c r="B415" s="521" t="s">
        <v>47</v>
      </c>
      <c r="C415" s="896" t="s">
        <v>1150</v>
      </c>
      <c r="D415" s="563"/>
      <c r="E415" s="1758">
        <f t="shared" si="26"/>
        <v>3522871978</v>
      </c>
      <c r="F415" s="3090">
        <f t="shared" si="27"/>
        <v>245.98534511878941</v>
      </c>
      <c r="G415" s="2382"/>
      <c r="H415" s="1755"/>
      <c r="I415" s="1673">
        <v>165720977</v>
      </c>
      <c r="J415" s="1604">
        <v>202266867</v>
      </c>
      <c r="K415" s="1604">
        <v>32222055</v>
      </c>
      <c r="L415" s="1604">
        <v>593059971</v>
      </c>
      <c r="M415" s="1604">
        <v>668130019</v>
      </c>
      <c r="N415" s="1604">
        <v>548761681</v>
      </c>
      <c r="O415" s="1604">
        <v>581878559</v>
      </c>
      <c r="P415" s="1604">
        <v>103649178</v>
      </c>
      <c r="Q415" s="1604">
        <v>627182671</v>
      </c>
      <c r="R415" s="363" t="s">
        <v>427</v>
      </c>
      <c r="S415" s="267" t="s">
        <v>185</v>
      </c>
      <c r="T415" s="523">
        <v>1</v>
      </c>
      <c r="U415" s="1646">
        <v>34726</v>
      </c>
      <c r="V415" s="524" t="s">
        <v>1100</v>
      </c>
      <c r="W415" s="524" t="s">
        <v>1148</v>
      </c>
      <c r="X415" s="844">
        <f t="shared" ca="1" si="28"/>
        <v>17.983333333333334</v>
      </c>
      <c r="Y415" s="48"/>
    </row>
    <row r="416" spans="1:25" ht="12" customHeight="1">
      <c r="A416" s="48">
        <v>404</v>
      </c>
      <c r="B416" s="521" t="s">
        <v>47</v>
      </c>
      <c r="C416" s="896" t="s">
        <v>1136</v>
      </c>
      <c r="D416" s="2073"/>
      <c r="E416" s="1758">
        <f t="shared" si="26"/>
        <v>3348773232</v>
      </c>
      <c r="F416" s="3090">
        <f t="shared" si="27"/>
        <v>250.42160338621767</v>
      </c>
      <c r="G416" s="2382"/>
      <c r="H416" s="1755"/>
      <c r="I416" s="1673">
        <v>165823420</v>
      </c>
      <c r="J416" s="1604">
        <v>241449752</v>
      </c>
      <c r="K416" s="1604">
        <v>20823960</v>
      </c>
      <c r="L416" s="1604">
        <v>496340983</v>
      </c>
      <c r="M416" s="1604">
        <v>600843363</v>
      </c>
      <c r="N416" s="1604">
        <v>491155368</v>
      </c>
      <c r="O416" s="1604">
        <v>522098407</v>
      </c>
      <c r="P416" s="1604">
        <v>137751228</v>
      </c>
      <c r="Q416" s="1604">
        <v>672486751</v>
      </c>
      <c r="R416" s="363" t="s">
        <v>665</v>
      </c>
      <c r="S416" s="309" t="s">
        <v>185</v>
      </c>
      <c r="T416" s="523">
        <v>1</v>
      </c>
      <c r="U416" s="1646">
        <v>34452</v>
      </c>
      <c r="V416" s="524" t="s">
        <v>167</v>
      </c>
      <c r="W416" s="524" t="s">
        <v>1135</v>
      </c>
      <c r="X416" s="844">
        <f t="shared" ca="1" si="28"/>
        <v>18.730555555555554</v>
      </c>
      <c r="Y416" s="48">
        <v>404</v>
      </c>
    </row>
    <row r="417" spans="1:25" ht="12" customHeight="1">
      <c r="A417" s="48"/>
      <c r="B417" s="2144" t="s">
        <v>47</v>
      </c>
      <c r="C417" s="2440" t="s">
        <v>1002</v>
      </c>
      <c r="D417" s="2128" t="s">
        <v>46</v>
      </c>
      <c r="E417" s="3066">
        <f t="shared" si="26"/>
        <v>3396834219</v>
      </c>
      <c r="F417" s="3090">
        <f t="shared" si="27"/>
        <v>263.17291783273669</v>
      </c>
      <c r="G417" s="2508">
        <f>12.3+35.9+0+62.8+35.8+16.6+11.1+29.43+18.16</f>
        <v>222.09</v>
      </c>
      <c r="H417" s="2085"/>
      <c r="I417" s="1930">
        <v>221575990</v>
      </c>
      <c r="J417" s="1914">
        <v>317034522</v>
      </c>
      <c r="K417" s="1914">
        <v>19458314</v>
      </c>
      <c r="L417" s="1914">
        <v>518154062</v>
      </c>
      <c r="M417" s="1914">
        <v>609161922</v>
      </c>
      <c r="N417" s="1914">
        <v>492148895</v>
      </c>
      <c r="O417" s="1856">
        <v>601275565</v>
      </c>
      <c r="P417" s="1914">
        <v>143621256</v>
      </c>
      <c r="Q417" s="1914">
        <v>474403693</v>
      </c>
      <c r="R417" s="2086" t="s">
        <v>1003</v>
      </c>
      <c r="S417" s="2087" t="s">
        <v>76</v>
      </c>
      <c r="T417" s="2088">
        <v>1</v>
      </c>
      <c r="U417" s="2089">
        <v>39998</v>
      </c>
      <c r="V417" s="2091" t="s">
        <v>82</v>
      </c>
      <c r="W417" s="2091" t="s">
        <v>212</v>
      </c>
      <c r="X417" s="2092">
        <f t="shared" ca="1" si="28"/>
        <v>3.5472222222222221</v>
      </c>
      <c r="Y417" s="48"/>
    </row>
    <row r="418" spans="1:25" ht="12" customHeight="1">
      <c r="A418" s="48">
        <v>406</v>
      </c>
      <c r="B418" s="2142" t="s">
        <v>47</v>
      </c>
      <c r="C418" s="2156" t="s">
        <v>628</v>
      </c>
      <c r="D418" s="1471" t="s">
        <v>46</v>
      </c>
      <c r="E418" s="2313">
        <f t="shared" si="26"/>
        <v>3723933694</v>
      </c>
      <c r="F418" s="3090">
        <f t="shared" si="27"/>
        <v>271.82210429402909</v>
      </c>
      <c r="G418" s="2406"/>
      <c r="H418" s="2157"/>
      <c r="I418" s="1849">
        <v>182062499</v>
      </c>
      <c r="J418" s="1857">
        <v>256117773</v>
      </c>
      <c r="K418" s="1857">
        <v>22788427</v>
      </c>
      <c r="L418" s="1850">
        <v>589582653</v>
      </c>
      <c r="M418" s="1850">
        <v>717762267</v>
      </c>
      <c r="N418" s="1850">
        <v>590100445</v>
      </c>
      <c r="O418" s="1850">
        <v>485682401</v>
      </c>
      <c r="P418" s="1850">
        <v>146366292</v>
      </c>
      <c r="Q418" s="1850">
        <v>733470937</v>
      </c>
      <c r="R418" s="2158" t="s">
        <v>615</v>
      </c>
      <c r="S418" s="2159" t="s">
        <v>185</v>
      </c>
      <c r="T418" s="2160">
        <v>1</v>
      </c>
      <c r="U418" s="2161">
        <v>32371</v>
      </c>
      <c r="V418" s="2162" t="s">
        <v>89</v>
      </c>
      <c r="W418" s="2162" t="s">
        <v>616</v>
      </c>
      <c r="X418" s="2081">
        <f t="shared" ca="1" si="28"/>
        <v>24.430555555555557</v>
      </c>
      <c r="Y418" s="48">
        <v>406</v>
      </c>
    </row>
    <row r="419" spans="1:25" ht="12" customHeight="1">
      <c r="A419" s="48"/>
      <c r="B419" s="533" t="s">
        <v>47</v>
      </c>
      <c r="C419" s="378" t="s">
        <v>621</v>
      </c>
      <c r="D419" s="563" t="s">
        <v>46</v>
      </c>
      <c r="E419" s="1756">
        <f t="shared" si="26"/>
        <v>3649374161</v>
      </c>
      <c r="F419" s="3090">
        <f t="shared" si="27"/>
        <v>280.38582955887625</v>
      </c>
      <c r="G419" s="2381"/>
      <c r="H419" s="1747"/>
      <c r="I419" s="1776">
        <v>205778573</v>
      </c>
      <c r="J419" s="1674">
        <v>275635849</v>
      </c>
      <c r="K419" s="1674">
        <v>21816177</v>
      </c>
      <c r="L419" s="1674">
        <v>556808953</v>
      </c>
      <c r="M419" s="1674">
        <v>604188849</v>
      </c>
      <c r="N419" s="1674">
        <v>492348145</v>
      </c>
      <c r="O419" s="1604">
        <v>562139557</v>
      </c>
      <c r="P419" s="1674">
        <v>150729517</v>
      </c>
      <c r="Q419" s="1674">
        <v>779928541</v>
      </c>
      <c r="R419" s="368" t="s">
        <v>622</v>
      </c>
      <c r="S419" s="369" t="s">
        <v>76</v>
      </c>
      <c r="T419" s="531">
        <v>1</v>
      </c>
      <c r="U419" s="1650">
        <v>37796</v>
      </c>
      <c r="V419" s="532" t="s">
        <v>84</v>
      </c>
      <c r="W419" s="532" t="s">
        <v>623</v>
      </c>
      <c r="X419" s="844">
        <f t="shared" ca="1" si="28"/>
        <v>9.5749999999999993</v>
      </c>
      <c r="Y419" s="48"/>
    </row>
    <row r="420" spans="1:25" ht="12" customHeight="1">
      <c r="A420" s="48">
        <v>408</v>
      </c>
      <c r="B420" s="2100" t="s">
        <v>47</v>
      </c>
      <c r="C420" s="1461" t="s">
        <v>624</v>
      </c>
      <c r="D420" s="563" t="s">
        <v>46</v>
      </c>
      <c r="E420" s="1756">
        <f t="shared" si="26"/>
        <v>3694978288</v>
      </c>
      <c r="F420" s="3090">
        <f t="shared" si="27"/>
        <v>279.6953013908892</v>
      </c>
      <c r="G420" s="2400"/>
      <c r="H420" s="1773"/>
      <c r="I420" s="1673">
        <v>183793690</v>
      </c>
      <c r="J420" s="1604">
        <v>214828663</v>
      </c>
      <c r="K420" s="1604">
        <v>60611675</v>
      </c>
      <c r="L420" s="1604">
        <v>625482827</v>
      </c>
      <c r="M420" s="1604">
        <v>666903149</v>
      </c>
      <c r="N420" s="1604">
        <v>546884027</v>
      </c>
      <c r="O420" s="1676">
        <v>607948948</v>
      </c>
      <c r="P420" s="1604">
        <v>114850295</v>
      </c>
      <c r="Q420" s="1604">
        <v>673675014</v>
      </c>
      <c r="R420" s="877" t="s">
        <v>625</v>
      </c>
      <c r="S420" s="878" t="s">
        <v>185</v>
      </c>
      <c r="T420" s="879">
        <v>1</v>
      </c>
      <c r="U420" s="1664">
        <v>33347</v>
      </c>
      <c r="V420" s="880" t="s">
        <v>80</v>
      </c>
      <c r="W420" s="880" t="s">
        <v>138</v>
      </c>
      <c r="X420" s="844">
        <f t="shared" ca="1" si="28"/>
        <v>21.755555555555556</v>
      </c>
      <c r="Y420" s="48">
        <v>408</v>
      </c>
    </row>
    <row r="421" spans="1:25" ht="12" customHeight="1">
      <c r="B421" s="2144" t="s">
        <v>47</v>
      </c>
      <c r="C421" s="2440" t="s">
        <v>1797</v>
      </c>
      <c r="D421" s="2128" t="s">
        <v>46</v>
      </c>
      <c r="E421" s="3072">
        <f t="shared" si="26"/>
        <v>3621270414</v>
      </c>
      <c r="F421" s="3090">
        <f t="shared" si="27"/>
        <v>280.85564249385646</v>
      </c>
      <c r="G421" s="2404">
        <f>3.5+5.1+0+13.5+19.6+16.3+11.1+2.4+13.2</f>
        <v>84.7</v>
      </c>
      <c r="H421" s="2150"/>
      <c r="I421" s="1855">
        <v>148254780</v>
      </c>
      <c r="J421" s="1856">
        <v>206525650</v>
      </c>
      <c r="K421" s="1856">
        <v>82633404</v>
      </c>
      <c r="L421" s="1856">
        <v>666400747</v>
      </c>
      <c r="M421" s="1856">
        <v>593363441</v>
      </c>
      <c r="N421" s="1856">
        <v>492018662</v>
      </c>
      <c r="O421" s="1856">
        <v>632294951</v>
      </c>
      <c r="P421" s="1856">
        <v>90349800</v>
      </c>
      <c r="Q421" s="1856">
        <v>709428979</v>
      </c>
      <c r="R421" s="2137" t="s">
        <v>1790</v>
      </c>
      <c r="S421" s="2155" t="s">
        <v>72</v>
      </c>
      <c r="T421" s="2139">
        <v>1</v>
      </c>
      <c r="U421" s="2140">
        <v>41194</v>
      </c>
      <c r="V421" s="2141" t="s">
        <v>605</v>
      </c>
      <c r="W421" s="2141" t="s">
        <v>174</v>
      </c>
      <c r="X421" s="2092">
        <f t="shared" ca="1" si="28"/>
        <v>0.27500000000000002</v>
      </c>
    </row>
    <row r="422" spans="1:25" ht="12" customHeight="1">
      <c r="A422" s="48">
        <v>410</v>
      </c>
      <c r="B422" s="2075" t="s">
        <v>47</v>
      </c>
      <c r="C422" s="2163" t="s">
        <v>1202</v>
      </c>
      <c r="D422" s="1471" t="s">
        <v>46</v>
      </c>
      <c r="E422" s="2301">
        <f t="shared" si="26"/>
        <v>3697709464</v>
      </c>
      <c r="F422" s="3090">
        <f t="shared" si="27"/>
        <v>286.46651173869577</v>
      </c>
      <c r="G422" s="2384"/>
      <c r="H422" s="2095"/>
      <c r="I422" s="1857">
        <v>208035747</v>
      </c>
      <c r="J422" s="1857">
        <v>287218511</v>
      </c>
      <c r="K422" s="1857">
        <v>20866719</v>
      </c>
      <c r="L422" s="1857">
        <v>558792198</v>
      </c>
      <c r="M422" s="1857">
        <v>608442034</v>
      </c>
      <c r="N422" s="1857">
        <v>492019651</v>
      </c>
      <c r="O422" s="1850">
        <v>583143432</v>
      </c>
      <c r="P422" s="1857">
        <v>160260179</v>
      </c>
      <c r="Q422" s="2143">
        <v>778930993</v>
      </c>
      <c r="R422" s="2096" t="s">
        <v>1203</v>
      </c>
      <c r="S422" s="2145" t="s">
        <v>185</v>
      </c>
      <c r="T422" s="2146">
        <v>1</v>
      </c>
      <c r="U422" s="2147">
        <v>34490</v>
      </c>
      <c r="V422" s="2098" t="s">
        <v>82</v>
      </c>
      <c r="W422" s="2098" t="s">
        <v>1204</v>
      </c>
      <c r="X422" s="2081">
        <f t="shared" ca="1" si="28"/>
        <v>18.627777777777776</v>
      </c>
      <c r="Y422" s="48">
        <v>410</v>
      </c>
    </row>
    <row r="423" spans="1:25" ht="12" customHeight="1">
      <c r="B423" s="521" t="s">
        <v>47</v>
      </c>
      <c r="C423" s="926" t="s">
        <v>1773</v>
      </c>
      <c r="D423" s="563"/>
      <c r="E423" s="3070">
        <f t="shared" si="26"/>
        <v>3583520768</v>
      </c>
      <c r="F423" s="3090">
        <f t="shared" si="27"/>
        <v>292.90321051679729</v>
      </c>
      <c r="G423" s="2392">
        <f>4+4+0+18+1+1+23+4+32</f>
        <v>87</v>
      </c>
      <c r="H423" s="1676"/>
      <c r="I423" s="1673">
        <v>192401408</v>
      </c>
      <c r="J423" s="1604">
        <v>235315200</v>
      </c>
      <c r="K423" s="1604">
        <v>61575168</v>
      </c>
      <c r="L423" s="1604">
        <v>586432512</v>
      </c>
      <c r="M423" s="1604">
        <v>608722944</v>
      </c>
      <c r="N423" s="1604">
        <v>491913216</v>
      </c>
      <c r="O423" s="1604">
        <v>595677184</v>
      </c>
      <c r="P423" s="1604">
        <v>154152960</v>
      </c>
      <c r="Q423" s="1604">
        <v>657330176</v>
      </c>
      <c r="R423" s="309" t="s">
        <v>1774</v>
      </c>
      <c r="S423" s="267" t="s">
        <v>72</v>
      </c>
      <c r="T423" s="523">
        <v>1</v>
      </c>
      <c r="U423" s="1646">
        <v>34881</v>
      </c>
      <c r="V423" s="524" t="s">
        <v>89</v>
      </c>
      <c r="W423" s="524" t="s">
        <v>586</v>
      </c>
      <c r="X423" s="844">
        <f t="shared" ca="1" si="28"/>
        <v>17.555555555555557</v>
      </c>
    </row>
    <row r="424" spans="1:25" ht="12" customHeight="1">
      <c r="A424" s="48">
        <v>412</v>
      </c>
      <c r="B424" s="521" t="s">
        <v>47</v>
      </c>
      <c r="C424" s="896" t="s">
        <v>1151</v>
      </c>
      <c r="D424" s="563"/>
      <c r="E424" s="1758">
        <f t="shared" si="26"/>
        <v>3767252143</v>
      </c>
      <c r="F424" s="3090">
        <f t="shared" si="27"/>
        <v>294.96018088573078</v>
      </c>
      <c r="G424" s="2392"/>
      <c r="H424" s="1755"/>
      <c r="I424" s="1776">
        <v>209836692</v>
      </c>
      <c r="J424" s="1604">
        <v>292592712</v>
      </c>
      <c r="K424" s="1674">
        <v>23059626</v>
      </c>
      <c r="L424" s="1674">
        <v>570980282</v>
      </c>
      <c r="M424" s="1674">
        <v>608569854</v>
      </c>
      <c r="N424" s="1674">
        <v>492149020</v>
      </c>
      <c r="O424" s="1860">
        <v>595498659</v>
      </c>
      <c r="P424" s="1604">
        <v>167891040</v>
      </c>
      <c r="Q424" s="1674">
        <v>806674258</v>
      </c>
      <c r="R424" s="363" t="s">
        <v>1152</v>
      </c>
      <c r="S424" s="309" t="s">
        <v>185</v>
      </c>
      <c r="T424" s="523">
        <v>1</v>
      </c>
      <c r="U424" s="1646">
        <v>37130</v>
      </c>
      <c r="V424" s="524" t="s">
        <v>375</v>
      </c>
      <c r="W424" s="526" t="s">
        <v>636</v>
      </c>
      <c r="X424" s="844">
        <f t="shared" ca="1" si="28"/>
        <v>11.4</v>
      </c>
      <c r="Y424" s="48">
        <v>412</v>
      </c>
    </row>
    <row r="425" spans="1:25" ht="12" customHeight="1">
      <c r="A425" s="48"/>
      <c r="B425" s="2144" t="s">
        <v>47</v>
      </c>
      <c r="C425" s="3023" t="s">
        <v>1833</v>
      </c>
      <c r="D425" s="2128" t="s">
        <v>46</v>
      </c>
      <c r="E425" s="3072">
        <f t="shared" si="26"/>
        <v>4660447457</v>
      </c>
      <c r="F425" s="3090">
        <f t="shared" si="27"/>
        <v>301.85889135729531</v>
      </c>
      <c r="G425" s="2402"/>
      <c r="H425" s="2136"/>
      <c r="I425" s="2166">
        <v>211750581</v>
      </c>
      <c r="J425" s="2150">
        <v>266580164</v>
      </c>
      <c r="K425" s="2150">
        <v>30667091</v>
      </c>
      <c r="L425" s="2150">
        <v>723851863</v>
      </c>
      <c r="M425" s="2150">
        <v>1102560485</v>
      </c>
      <c r="N425" s="2150">
        <v>902536014</v>
      </c>
      <c r="O425" s="2167">
        <v>650348104</v>
      </c>
      <c r="P425" s="2150">
        <v>133781250</v>
      </c>
      <c r="Q425" s="2150">
        <v>638371905</v>
      </c>
      <c r="R425" s="2137" t="s">
        <v>1830</v>
      </c>
      <c r="S425" s="2138" t="s">
        <v>185</v>
      </c>
      <c r="T425" s="2139">
        <v>1</v>
      </c>
      <c r="U425" s="2140">
        <v>38119</v>
      </c>
      <c r="V425" s="2141" t="s">
        <v>312</v>
      </c>
      <c r="W425" s="2141" t="s">
        <v>1829</v>
      </c>
      <c r="X425" s="2092">
        <f t="shared" ca="1" si="28"/>
        <v>8.6916666666666664</v>
      </c>
      <c r="Y425" s="48"/>
    </row>
    <row r="426" spans="1:25" ht="12" customHeight="1">
      <c r="A426" s="48">
        <v>414</v>
      </c>
      <c r="B426" s="2426" t="s">
        <v>47</v>
      </c>
      <c r="C426" s="2453" t="s">
        <v>1268</v>
      </c>
      <c r="D426" s="1471" t="s">
        <v>46</v>
      </c>
      <c r="E426" s="2489">
        <f t="shared" si="26"/>
        <v>3835328332</v>
      </c>
      <c r="F426" s="3090">
        <f t="shared" si="27"/>
        <v>306.41187081408867</v>
      </c>
      <c r="G426" s="2509">
        <f>2.3+3.6+0+8.75+5.8+4.6+6.9+1.9+13.6</f>
        <v>47.449999999999996</v>
      </c>
      <c r="H426" s="2524"/>
      <c r="I426" s="1858">
        <v>166637702</v>
      </c>
      <c r="J426" s="1850">
        <v>246014863</v>
      </c>
      <c r="K426" s="1850">
        <v>73370268</v>
      </c>
      <c r="L426" s="1850">
        <v>668385041</v>
      </c>
      <c r="M426" s="1850">
        <v>589664714</v>
      </c>
      <c r="N426" s="1850">
        <v>492148740</v>
      </c>
      <c r="O426" s="1923">
        <v>602023590</v>
      </c>
      <c r="P426" s="1850">
        <v>122244724</v>
      </c>
      <c r="Q426" s="1850">
        <v>874838690</v>
      </c>
      <c r="R426" s="2548" t="s">
        <v>816</v>
      </c>
      <c r="S426" s="2563" t="s">
        <v>76</v>
      </c>
      <c r="T426" s="2575">
        <v>1</v>
      </c>
      <c r="U426" s="2588">
        <v>39641</v>
      </c>
      <c r="V426" s="2598" t="s">
        <v>82</v>
      </c>
      <c r="W426" s="2598" t="s">
        <v>174</v>
      </c>
      <c r="X426" s="2081">
        <f t="shared" ca="1" si="28"/>
        <v>4.5250000000000004</v>
      </c>
      <c r="Y426" s="48">
        <v>414</v>
      </c>
    </row>
    <row r="427" spans="1:25" ht="12" customHeight="1">
      <c r="A427" s="48"/>
      <c r="B427" s="521" t="s">
        <v>47</v>
      </c>
      <c r="C427" s="1463" t="s">
        <v>1019</v>
      </c>
      <c r="D427" s="2102"/>
      <c r="E427" s="3073">
        <f t="shared" si="26"/>
        <v>3898626341</v>
      </c>
      <c r="F427" s="3090">
        <f t="shared" si="27"/>
        <v>310.59461952968206</v>
      </c>
      <c r="G427" s="2396">
        <f>252+731+0+1032+779+381+173+79+86</f>
        <v>3513</v>
      </c>
      <c r="H427" s="1765"/>
      <c r="I427" s="1776">
        <v>194188299</v>
      </c>
      <c r="J427" s="1604">
        <v>306091450</v>
      </c>
      <c r="K427" s="1674">
        <v>56310362</v>
      </c>
      <c r="L427" s="1674">
        <v>708587093</v>
      </c>
      <c r="M427" s="1674">
        <v>606814720</v>
      </c>
      <c r="N427" s="1674">
        <v>494959737</v>
      </c>
      <c r="O427" s="1860">
        <v>589767994</v>
      </c>
      <c r="P427" s="1604">
        <v>135002272</v>
      </c>
      <c r="Q427" s="1674">
        <v>806904414</v>
      </c>
      <c r="R427" s="363" t="s">
        <v>854</v>
      </c>
      <c r="S427" s="309" t="s">
        <v>76</v>
      </c>
      <c r="T427" s="523">
        <v>1</v>
      </c>
      <c r="U427" s="1646">
        <v>40343</v>
      </c>
      <c r="V427" s="524" t="s">
        <v>224</v>
      </c>
      <c r="W427" s="524" t="s">
        <v>853</v>
      </c>
      <c r="X427" s="844">
        <f t="shared" ca="1" si="28"/>
        <v>2.6027777777777779</v>
      </c>
      <c r="Y427" s="48"/>
    </row>
    <row r="428" spans="1:25" ht="12" customHeight="1">
      <c r="A428" s="48">
        <v>416</v>
      </c>
      <c r="B428" s="1349" t="s">
        <v>1820</v>
      </c>
      <c r="C428" s="370" t="s">
        <v>1111</v>
      </c>
      <c r="D428" s="563" t="s">
        <v>46</v>
      </c>
      <c r="E428" s="1756">
        <f t="shared" si="26"/>
        <v>3948720948</v>
      </c>
      <c r="F428" s="3090">
        <f t="shared" si="27"/>
        <v>314.93180880385955</v>
      </c>
      <c r="G428" s="2381"/>
      <c r="H428" s="1747"/>
      <c r="I428" s="1776">
        <v>170447796</v>
      </c>
      <c r="J428" s="1674">
        <v>305785086</v>
      </c>
      <c r="K428" s="1674">
        <v>33856998</v>
      </c>
      <c r="L428" s="1674">
        <v>708300890</v>
      </c>
      <c r="M428" s="1674">
        <v>603157765</v>
      </c>
      <c r="N428" s="1674">
        <v>492148908</v>
      </c>
      <c r="O428" s="2103">
        <v>568399840</v>
      </c>
      <c r="P428" s="1674">
        <v>188305863</v>
      </c>
      <c r="Q428" s="1674">
        <v>878317802</v>
      </c>
      <c r="R428" s="368" t="s">
        <v>576</v>
      </c>
      <c r="S428" s="369" t="s">
        <v>76</v>
      </c>
      <c r="T428" s="531">
        <v>1</v>
      </c>
      <c r="U428" s="1647">
        <v>31740</v>
      </c>
      <c r="V428" s="532" t="s">
        <v>89</v>
      </c>
      <c r="W428" s="532" t="s">
        <v>623</v>
      </c>
      <c r="X428" s="844">
        <f t="shared" ca="1" si="28"/>
        <v>26.158333333333335</v>
      </c>
      <c r="Y428" s="48">
        <v>416</v>
      </c>
    </row>
    <row r="429" spans="1:25" ht="12" customHeight="1">
      <c r="A429" s="48"/>
      <c r="B429" s="2152" t="s">
        <v>47</v>
      </c>
      <c r="C429" s="2083" t="s">
        <v>1219</v>
      </c>
      <c r="D429" s="2128"/>
      <c r="E429" s="3074">
        <f t="shared" si="26"/>
        <v>4061146774</v>
      </c>
      <c r="F429" s="3090">
        <f t="shared" si="27"/>
        <v>320.48048165977144</v>
      </c>
      <c r="G429" s="2383"/>
      <c r="H429" s="2085"/>
      <c r="I429" s="1930">
        <v>212795842</v>
      </c>
      <c r="J429" s="1914">
        <v>302140962</v>
      </c>
      <c r="K429" s="1914">
        <v>21205929</v>
      </c>
      <c r="L429" s="1914">
        <v>685043925</v>
      </c>
      <c r="M429" s="1914">
        <v>609161728</v>
      </c>
      <c r="N429" s="1914">
        <v>492148736</v>
      </c>
      <c r="O429" s="1915">
        <v>633510400</v>
      </c>
      <c r="P429" s="1914">
        <v>197278527</v>
      </c>
      <c r="Q429" s="2164">
        <v>907860725</v>
      </c>
      <c r="R429" s="2086" t="s">
        <v>1191</v>
      </c>
      <c r="S429" s="2087" t="s">
        <v>185</v>
      </c>
      <c r="T429" s="2088">
        <v>1</v>
      </c>
      <c r="U429" s="2089">
        <v>33289</v>
      </c>
      <c r="V429" s="2091" t="s">
        <v>1222</v>
      </c>
      <c r="W429" s="2090" t="s">
        <v>138</v>
      </c>
      <c r="X429" s="2092">
        <f t="shared" ca="1" si="28"/>
        <v>21.919444444444444</v>
      </c>
      <c r="Y429" s="48"/>
    </row>
    <row r="430" spans="1:25" ht="12" customHeight="1">
      <c r="A430" s="48">
        <v>418</v>
      </c>
      <c r="B430" s="1447" t="s">
        <v>47</v>
      </c>
      <c r="C430" s="904" t="s">
        <v>626</v>
      </c>
      <c r="D430" s="863"/>
      <c r="E430" s="2313">
        <f t="shared" si="26"/>
        <v>3969294639</v>
      </c>
      <c r="F430" s="3090">
        <f t="shared" si="27"/>
        <v>330.52033168434474</v>
      </c>
      <c r="G430" s="2384"/>
      <c r="H430" s="2095"/>
      <c r="I430" s="1858">
        <v>208024707</v>
      </c>
      <c r="J430" s="1850">
        <v>558793009</v>
      </c>
      <c r="K430" s="1850">
        <v>20866874</v>
      </c>
      <c r="L430" s="1850">
        <v>558793009</v>
      </c>
      <c r="M430" s="1850">
        <v>608442090</v>
      </c>
      <c r="N430" s="1850">
        <v>492020461</v>
      </c>
      <c r="O430" s="2165">
        <v>583144232</v>
      </c>
      <c r="P430" s="1850">
        <v>160279490</v>
      </c>
      <c r="Q430" s="1850">
        <v>778930767</v>
      </c>
      <c r="R430" s="2096" t="s">
        <v>627</v>
      </c>
      <c r="S430" s="2145" t="s">
        <v>185</v>
      </c>
      <c r="T430" s="2146">
        <v>1</v>
      </c>
      <c r="U430" s="2147">
        <v>34099</v>
      </c>
      <c r="V430" s="2098" t="s">
        <v>605</v>
      </c>
      <c r="W430" s="2098" t="s">
        <v>1204</v>
      </c>
      <c r="X430" s="2081">
        <f t="shared" ca="1" si="28"/>
        <v>19.697222222222223</v>
      </c>
      <c r="Y430" s="48">
        <v>418</v>
      </c>
    </row>
    <row r="431" spans="1:25" ht="12" customHeight="1">
      <c r="A431" s="48"/>
      <c r="B431" s="2633" t="s">
        <v>47</v>
      </c>
      <c r="C431" s="2104" t="s">
        <v>632</v>
      </c>
      <c r="D431" s="2636"/>
      <c r="E431" s="3069">
        <f t="shared" si="26"/>
        <v>4096940386</v>
      </c>
      <c r="F431" s="3090">
        <f t="shared" si="27"/>
        <v>330.61095868583715</v>
      </c>
      <c r="G431" s="2381"/>
      <c r="H431" s="1747"/>
      <c r="I431" s="1777">
        <v>235046425</v>
      </c>
      <c r="J431" s="1674">
        <v>305784934</v>
      </c>
      <c r="K431" s="1674">
        <v>33856846</v>
      </c>
      <c r="L431" s="1674">
        <v>708300737</v>
      </c>
      <c r="M431" s="1674">
        <v>604792372</v>
      </c>
      <c r="N431" s="1674">
        <v>493170688</v>
      </c>
      <c r="O431" s="2103">
        <v>605362959</v>
      </c>
      <c r="P431" s="1674">
        <v>188305715</v>
      </c>
      <c r="Q431" s="1674">
        <v>922319710</v>
      </c>
      <c r="R431" s="368" t="s">
        <v>633</v>
      </c>
      <c r="S431" s="369" t="s">
        <v>185</v>
      </c>
      <c r="T431" s="531">
        <v>1</v>
      </c>
      <c r="U431" s="1665">
        <v>31473</v>
      </c>
      <c r="V431" s="532" t="s">
        <v>605</v>
      </c>
      <c r="W431" s="532" t="s">
        <v>631</v>
      </c>
      <c r="X431" s="844">
        <f t="shared" ca="1" si="28"/>
        <v>26.886111111111113</v>
      </c>
      <c r="Y431" s="48"/>
    </row>
    <row r="432" spans="1:25" ht="12" customHeight="1">
      <c r="A432" s="48">
        <v>420</v>
      </c>
      <c r="B432" s="533" t="s">
        <v>47</v>
      </c>
      <c r="C432" s="889" t="s">
        <v>1215</v>
      </c>
      <c r="D432" s="563"/>
      <c r="E432" s="1756">
        <f t="shared" si="26"/>
        <v>4206598489</v>
      </c>
      <c r="F432" s="3090">
        <f t="shared" si="27"/>
        <v>360.49848771724476</v>
      </c>
      <c r="G432" s="2381"/>
      <c r="H432" s="1747"/>
      <c r="I432" s="1776">
        <v>235149865</v>
      </c>
      <c r="J432" s="1674">
        <v>305958700</v>
      </c>
      <c r="K432" s="1674">
        <v>70880140</v>
      </c>
      <c r="L432" s="1674">
        <v>708744836</v>
      </c>
      <c r="M432" s="1674">
        <v>604942600</v>
      </c>
      <c r="N432" s="1674">
        <v>493335696</v>
      </c>
      <c r="O432" s="1860">
        <v>605575172</v>
      </c>
      <c r="P432" s="1674">
        <v>188662140</v>
      </c>
      <c r="Q432" s="1710">
        <v>993349340</v>
      </c>
      <c r="R432" s="368" t="s">
        <v>1216</v>
      </c>
      <c r="S432" s="369" t="s">
        <v>185</v>
      </c>
      <c r="T432" s="531">
        <v>1</v>
      </c>
      <c r="U432" s="1647">
        <v>36116</v>
      </c>
      <c r="V432" s="532" t="s">
        <v>435</v>
      </c>
      <c r="W432" s="562" t="s">
        <v>138</v>
      </c>
      <c r="X432" s="844">
        <f t="shared" ca="1" si="28"/>
        <v>14.177777777777777</v>
      </c>
      <c r="Y432" s="48">
        <v>420</v>
      </c>
    </row>
    <row r="433" spans="1:25" ht="12" customHeight="1">
      <c r="B433" s="2152" t="s">
        <v>47</v>
      </c>
      <c r="C433" s="2127" t="s">
        <v>1255</v>
      </c>
      <c r="D433" s="2128" t="s">
        <v>46</v>
      </c>
      <c r="E433" s="3074">
        <f t="shared" si="26"/>
        <v>4235929880</v>
      </c>
      <c r="F433" s="3090">
        <f t="shared" si="27"/>
        <v>367.03136875659766</v>
      </c>
      <c r="G433" s="2508">
        <f>23+31+0+70+60+48+61+19+101</f>
        <v>413</v>
      </c>
      <c r="H433" s="2085"/>
      <c r="I433" s="2166">
        <v>236734641</v>
      </c>
      <c r="J433" s="1914">
        <v>314657555</v>
      </c>
      <c r="K433" s="2164">
        <v>73312847</v>
      </c>
      <c r="L433" s="1914">
        <v>708722090</v>
      </c>
      <c r="M433" s="2164">
        <v>602902794</v>
      </c>
      <c r="N433" s="1914">
        <v>491293639</v>
      </c>
      <c r="O433" s="2167">
        <v>612905625</v>
      </c>
      <c r="P433" s="1914">
        <v>195851931</v>
      </c>
      <c r="Q433" s="1914">
        <v>999548758</v>
      </c>
      <c r="R433" s="2086" t="s">
        <v>634</v>
      </c>
      <c r="S433" s="2087" t="s">
        <v>76</v>
      </c>
      <c r="T433" s="2088">
        <v>1</v>
      </c>
      <c r="U433" s="2089">
        <v>38978</v>
      </c>
      <c r="V433" s="2091" t="s">
        <v>635</v>
      </c>
      <c r="W433" s="2091" t="s">
        <v>636</v>
      </c>
      <c r="X433" s="2092">
        <f t="shared" ca="1" si="28"/>
        <v>6.3416666666666668</v>
      </c>
    </row>
    <row r="434" spans="1:25" ht="12" customHeight="1">
      <c r="A434" s="48">
        <v>422</v>
      </c>
      <c r="B434" s="2168" t="s">
        <v>1820</v>
      </c>
      <c r="C434" s="2149" t="s">
        <v>1761</v>
      </c>
      <c r="D434" s="1471" t="s">
        <v>46</v>
      </c>
      <c r="E434" s="2301">
        <f t="shared" si="26"/>
        <v>4283247721</v>
      </c>
      <c r="F434" s="3090">
        <f t="shared" si="27"/>
        <v>372.093105093975</v>
      </c>
      <c r="G434" s="2384"/>
      <c r="H434" s="2095"/>
      <c r="I434" s="1849">
        <v>237838696</v>
      </c>
      <c r="J434" s="1857">
        <v>327879378</v>
      </c>
      <c r="K434" s="1857">
        <v>73370430</v>
      </c>
      <c r="L434" s="1857">
        <v>709268653</v>
      </c>
      <c r="M434" s="1857">
        <v>609140224</v>
      </c>
      <c r="N434" s="1857">
        <v>492104985</v>
      </c>
      <c r="O434" s="1923">
        <v>633483161</v>
      </c>
      <c r="P434" s="1857">
        <v>200161858</v>
      </c>
      <c r="Q434" s="2143">
        <v>1000000336</v>
      </c>
      <c r="R434" s="2169" t="s">
        <v>103</v>
      </c>
      <c r="S434" s="2170" t="s">
        <v>72</v>
      </c>
      <c r="T434" s="2171">
        <v>1</v>
      </c>
      <c r="U434" s="2172">
        <v>40802</v>
      </c>
      <c r="V434" s="2173" t="s">
        <v>82</v>
      </c>
      <c r="W434" s="2173" t="s">
        <v>1192</v>
      </c>
      <c r="X434" s="2081">
        <f t="shared" ca="1" si="28"/>
        <v>1.3472222222222223</v>
      </c>
      <c r="Y434" s="48">
        <v>422</v>
      </c>
    </row>
    <row r="435" spans="1:25" ht="12" customHeight="1">
      <c r="B435" s="521" t="s">
        <v>47</v>
      </c>
      <c r="C435" s="828" t="s">
        <v>1184</v>
      </c>
      <c r="D435" s="921"/>
      <c r="E435" s="3070">
        <f t="shared" si="26"/>
        <v>4288819604</v>
      </c>
      <c r="F435" s="3090">
        <f t="shared" si="27"/>
        <v>373.40301458880492</v>
      </c>
      <c r="G435" s="2392"/>
      <c r="H435" s="1755"/>
      <c r="I435" s="1776">
        <v>238355680</v>
      </c>
      <c r="J435" s="1674">
        <v>329662527</v>
      </c>
      <c r="K435" s="1674">
        <v>73372702</v>
      </c>
      <c r="L435" s="1674">
        <v>709845075</v>
      </c>
      <c r="M435" s="1674">
        <v>609161543</v>
      </c>
      <c r="N435" s="1674">
        <v>492128849</v>
      </c>
      <c r="O435" s="1860">
        <v>633504466</v>
      </c>
      <c r="P435" s="1674">
        <v>202691689</v>
      </c>
      <c r="Q435" s="1674">
        <v>1000097073</v>
      </c>
      <c r="R435" s="363" t="s">
        <v>1185</v>
      </c>
      <c r="S435" s="309" t="s">
        <v>76</v>
      </c>
      <c r="T435" s="523">
        <v>1</v>
      </c>
      <c r="U435" s="1646">
        <v>40997</v>
      </c>
      <c r="V435" s="524" t="s">
        <v>89</v>
      </c>
      <c r="W435" s="526" t="s">
        <v>138</v>
      </c>
      <c r="X435" s="844">
        <f t="shared" ca="1" si="28"/>
        <v>0.81111111111111112</v>
      </c>
    </row>
    <row r="436" spans="1:25" ht="12" customHeight="1">
      <c r="A436" s="48">
        <v>424</v>
      </c>
      <c r="B436" s="533" t="s">
        <v>47</v>
      </c>
      <c r="C436" s="367" t="s">
        <v>1762</v>
      </c>
      <c r="D436" s="563"/>
      <c r="E436" s="1756">
        <f t="shared" si="26"/>
        <v>4304798208</v>
      </c>
      <c r="F436" s="3090">
        <f t="shared" si="27"/>
        <v>377.11544106742258</v>
      </c>
      <c r="G436" s="2381"/>
      <c r="H436" s="1747"/>
      <c r="I436" s="1776">
        <v>239675392</v>
      </c>
      <c r="J436" s="1674">
        <v>336186368</v>
      </c>
      <c r="K436" s="1674">
        <v>73372160</v>
      </c>
      <c r="L436" s="1674">
        <v>711358464</v>
      </c>
      <c r="M436" s="1674">
        <v>609161728</v>
      </c>
      <c r="N436" s="1674">
        <v>492148736</v>
      </c>
      <c r="O436" s="1860">
        <v>633510400</v>
      </c>
      <c r="P436" s="1674">
        <v>209375744</v>
      </c>
      <c r="Q436" s="1710">
        <v>1000009216</v>
      </c>
      <c r="R436" s="368" t="s">
        <v>1191</v>
      </c>
      <c r="S436" s="914" t="s">
        <v>72</v>
      </c>
      <c r="T436" s="531">
        <v>1</v>
      </c>
      <c r="U436" s="1647">
        <v>40802</v>
      </c>
      <c r="V436" s="532" t="s">
        <v>82</v>
      </c>
      <c r="W436" s="532" t="s">
        <v>1192</v>
      </c>
      <c r="X436" s="844">
        <f t="shared" ca="1" si="28"/>
        <v>1.3472222222222223</v>
      </c>
      <c r="Y436" s="48">
        <v>424</v>
      </c>
    </row>
    <row r="437" spans="1:25" ht="12" customHeight="1">
      <c r="B437" s="2637" t="s">
        <v>47</v>
      </c>
      <c r="C437" s="2174" t="s">
        <v>638</v>
      </c>
      <c r="D437" s="2628" t="s">
        <v>46</v>
      </c>
      <c r="E437" s="3074">
        <f t="shared" si="26"/>
        <v>4966144017</v>
      </c>
      <c r="F437" s="3090">
        <f t="shared" si="27"/>
        <v>404.81461384348955</v>
      </c>
      <c r="G437" s="2085"/>
      <c r="H437" s="2085"/>
      <c r="I437" s="2166">
        <v>291481781</v>
      </c>
      <c r="J437" s="1914">
        <v>370236272</v>
      </c>
      <c r="K437" s="2164">
        <v>82951845</v>
      </c>
      <c r="L437" s="1914">
        <v>682430303</v>
      </c>
      <c r="M437" s="2164">
        <v>885160026</v>
      </c>
      <c r="N437" s="1914">
        <v>698480738</v>
      </c>
      <c r="O437" s="2175">
        <v>765346757</v>
      </c>
      <c r="P437" s="2164">
        <v>183328407</v>
      </c>
      <c r="Q437" s="2164">
        <v>1006727888</v>
      </c>
      <c r="R437" s="2086" t="s">
        <v>619</v>
      </c>
      <c r="S437" s="2087" t="s">
        <v>185</v>
      </c>
      <c r="T437" s="2088">
        <v>1</v>
      </c>
      <c r="U437" s="2153">
        <v>31152</v>
      </c>
      <c r="V437" s="2091" t="s">
        <v>89</v>
      </c>
      <c r="W437" s="2091" t="s">
        <v>551</v>
      </c>
      <c r="X437" s="2092">
        <f t="shared" ca="1" si="28"/>
        <v>27.766666666666666</v>
      </c>
    </row>
    <row r="438" spans="1:25" ht="12" customHeight="1">
      <c r="A438" s="48">
        <v>426</v>
      </c>
      <c r="B438" s="2176" t="s">
        <v>1820</v>
      </c>
      <c r="C438" s="1936" t="s">
        <v>1770</v>
      </c>
      <c r="D438" s="2177"/>
      <c r="E438" s="3075"/>
      <c r="F438" s="3091"/>
      <c r="G438" s="2178">
        <f>125.3+202.4+38.2+424.3+0+0+147.8+0+79.07+99.9+558.6</f>
        <v>1675.5700000000002</v>
      </c>
      <c r="H438" s="2178"/>
      <c r="I438" s="2179">
        <v>174427508</v>
      </c>
      <c r="J438" s="2178">
        <v>241639016</v>
      </c>
      <c r="K438" s="2178">
        <v>22966699</v>
      </c>
      <c r="L438" s="2178">
        <v>482093346</v>
      </c>
      <c r="M438" s="2178" t="s">
        <v>641</v>
      </c>
      <c r="N438" s="2178" t="s">
        <v>641</v>
      </c>
      <c r="O438" s="2180" t="s">
        <v>641</v>
      </c>
      <c r="P438" s="2178">
        <v>122234208</v>
      </c>
      <c r="Q438" s="2178">
        <v>551281775</v>
      </c>
      <c r="R438" s="2181" t="s">
        <v>1766</v>
      </c>
      <c r="S438" s="2178" t="s">
        <v>76</v>
      </c>
      <c r="T438" s="2182">
        <v>1</v>
      </c>
      <c r="U438" s="2183">
        <v>40197</v>
      </c>
      <c r="V438" s="2184" t="s">
        <v>138</v>
      </c>
      <c r="W438" s="2184" t="s">
        <v>138</v>
      </c>
      <c r="X438" s="2185">
        <f t="shared" ca="1" si="28"/>
        <v>3.0055555555555555</v>
      </c>
      <c r="Y438" s="48">
        <v>426</v>
      </c>
    </row>
    <row r="439" spans="1:25" ht="12" customHeight="1">
      <c r="B439" s="1350" t="s">
        <v>1820</v>
      </c>
      <c r="C439" s="393" t="s">
        <v>639</v>
      </c>
      <c r="D439" s="2107"/>
      <c r="E439" s="3076">
        <v>1</v>
      </c>
      <c r="F439" s="3092"/>
      <c r="G439" s="396"/>
      <c r="H439" s="396"/>
      <c r="I439" s="2108" t="s">
        <v>657</v>
      </c>
      <c r="J439" s="396" t="s">
        <v>640</v>
      </c>
      <c r="K439" s="396" t="s">
        <v>640</v>
      </c>
      <c r="L439" s="396" t="s">
        <v>640</v>
      </c>
      <c r="M439" s="396" t="s">
        <v>640</v>
      </c>
      <c r="N439" s="396" t="s">
        <v>640</v>
      </c>
      <c r="O439" s="2109" t="s">
        <v>640</v>
      </c>
      <c r="P439" s="396" t="s">
        <v>640</v>
      </c>
      <c r="Q439" s="396" t="s">
        <v>640</v>
      </c>
      <c r="R439" s="397" t="s">
        <v>642</v>
      </c>
      <c r="S439" s="396" t="s">
        <v>76</v>
      </c>
      <c r="T439" s="568">
        <v>1</v>
      </c>
      <c r="U439" s="1668">
        <v>37730</v>
      </c>
      <c r="V439" s="569" t="s">
        <v>643</v>
      </c>
      <c r="W439" s="569" t="s">
        <v>139</v>
      </c>
      <c r="X439" s="842">
        <f t="shared" ref="X439:X474" ca="1" si="29">YEARFRAC(U439,X$6)</f>
        <v>9.7555555555555564</v>
      </c>
    </row>
    <row r="440" spans="1:25" ht="12" customHeight="1">
      <c r="A440" s="48">
        <v>428</v>
      </c>
      <c r="B440" s="565" t="s">
        <v>47</v>
      </c>
      <c r="C440" s="883" t="s">
        <v>1096</v>
      </c>
      <c r="D440" s="2110"/>
      <c r="E440" s="388">
        <v>1</v>
      </c>
      <c r="F440" s="3093"/>
      <c r="G440" s="389"/>
      <c r="H440" s="389"/>
      <c r="I440" s="2111" t="s">
        <v>640</v>
      </c>
      <c r="J440" s="390" t="s">
        <v>641</v>
      </c>
      <c r="K440" s="390" t="s">
        <v>640</v>
      </c>
      <c r="L440" s="390" t="s">
        <v>640</v>
      </c>
      <c r="M440" s="390" t="s">
        <v>640</v>
      </c>
      <c r="N440" s="390" t="s">
        <v>640</v>
      </c>
      <c r="O440" s="2106" t="s">
        <v>640</v>
      </c>
      <c r="P440" s="390" t="s">
        <v>640</v>
      </c>
      <c r="Q440" s="390" t="s">
        <v>640</v>
      </c>
      <c r="R440" s="391" t="s">
        <v>1097</v>
      </c>
      <c r="S440" s="392" t="s">
        <v>185</v>
      </c>
      <c r="T440" s="566">
        <v>1</v>
      </c>
      <c r="U440" s="1667">
        <v>34532</v>
      </c>
      <c r="V440" s="567" t="s">
        <v>89</v>
      </c>
      <c r="W440" s="567" t="s">
        <v>410</v>
      </c>
      <c r="X440" s="842">
        <f t="shared" ca="1" si="29"/>
        <v>18.511111111111113</v>
      </c>
      <c r="Y440" s="48">
        <v>428</v>
      </c>
    </row>
    <row r="441" spans="1:25" ht="12" customHeight="1">
      <c r="B441" s="2186" t="s">
        <v>1820</v>
      </c>
      <c r="C441" s="2187" t="s">
        <v>644</v>
      </c>
      <c r="D441" s="2188" t="s">
        <v>46</v>
      </c>
      <c r="E441" s="3077">
        <v>1</v>
      </c>
      <c r="F441" s="3094"/>
      <c r="G441" s="2189"/>
      <c r="H441" s="2189"/>
      <c r="I441" s="2190" t="s">
        <v>657</v>
      </c>
      <c r="J441" s="2191" t="s">
        <v>640</v>
      </c>
      <c r="K441" s="2191" t="s">
        <v>640</v>
      </c>
      <c r="L441" s="2191" t="s">
        <v>640</v>
      </c>
      <c r="M441" s="2191" t="s">
        <v>640</v>
      </c>
      <c r="N441" s="2191" t="s">
        <v>640</v>
      </c>
      <c r="O441" s="2191" t="s">
        <v>640</v>
      </c>
      <c r="P441" s="2191" t="s">
        <v>640</v>
      </c>
      <c r="Q441" s="2191" t="s">
        <v>640</v>
      </c>
      <c r="R441" s="2192" t="s">
        <v>645</v>
      </c>
      <c r="S441" s="2191" t="s">
        <v>76</v>
      </c>
      <c r="T441" s="2193">
        <v>1</v>
      </c>
      <c r="U441" s="2194">
        <v>36037</v>
      </c>
      <c r="V441" s="2195" t="s">
        <v>167</v>
      </c>
      <c r="W441" s="2195" t="s">
        <v>138</v>
      </c>
      <c r="X441" s="2196">
        <f t="shared" ca="1" si="29"/>
        <v>14.391666666666667</v>
      </c>
    </row>
    <row r="442" spans="1:25" ht="12" customHeight="1">
      <c r="A442" s="48">
        <v>430</v>
      </c>
      <c r="B442" s="2197" t="s">
        <v>47</v>
      </c>
      <c r="C442" s="2198" t="s">
        <v>646</v>
      </c>
      <c r="D442" s="2199" t="s">
        <v>46</v>
      </c>
      <c r="E442" s="3078">
        <v>1</v>
      </c>
      <c r="F442" s="3095"/>
      <c r="G442" s="2200"/>
      <c r="H442" s="2200"/>
      <c r="I442" s="2201" t="s">
        <v>657</v>
      </c>
      <c r="J442" s="2200" t="s">
        <v>640</v>
      </c>
      <c r="K442" s="2200" t="s">
        <v>640</v>
      </c>
      <c r="L442" s="2200" t="s">
        <v>640</v>
      </c>
      <c r="M442" s="2200" t="s">
        <v>640</v>
      </c>
      <c r="N442" s="2200" t="s">
        <v>640</v>
      </c>
      <c r="O442" s="2200" t="s">
        <v>640</v>
      </c>
      <c r="P442" s="2200" t="s">
        <v>640</v>
      </c>
      <c r="Q442" s="2200" t="s">
        <v>640</v>
      </c>
      <c r="R442" s="2202" t="s">
        <v>648</v>
      </c>
      <c r="S442" s="2200" t="s">
        <v>76</v>
      </c>
      <c r="T442" s="2203">
        <v>1</v>
      </c>
      <c r="U442" s="2204">
        <v>38504</v>
      </c>
      <c r="V442" s="2205" t="s">
        <v>138</v>
      </c>
      <c r="W442" s="2205" t="s">
        <v>1180</v>
      </c>
      <c r="X442" s="2185">
        <f t="shared" ca="1" si="29"/>
        <v>7.6388888888888893</v>
      </c>
      <c r="Y442" s="48">
        <v>430</v>
      </c>
    </row>
    <row r="443" spans="1:25" ht="12" customHeight="1">
      <c r="B443" s="1350" t="s">
        <v>1820</v>
      </c>
      <c r="C443" s="393" t="s">
        <v>649</v>
      </c>
      <c r="D443" s="2112"/>
      <c r="E443" s="394">
        <v>1</v>
      </c>
      <c r="F443" s="3092"/>
      <c r="G443" s="395"/>
      <c r="H443" s="395"/>
      <c r="I443" s="2108" t="s">
        <v>657</v>
      </c>
      <c r="J443" s="396" t="s">
        <v>640</v>
      </c>
      <c r="K443" s="396" t="s">
        <v>640</v>
      </c>
      <c r="L443" s="396" t="s">
        <v>640</v>
      </c>
      <c r="M443" s="396" t="s">
        <v>640</v>
      </c>
      <c r="N443" s="396" t="s">
        <v>640</v>
      </c>
      <c r="O443" s="396" t="s">
        <v>640</v>
      </c>
      <c r="P443" s="396" t="s">
        <v>640</v>
      </c>
      <c r="Q443" s="396" t="s">
        <v>640</v>
      </c>
      <c r="R443" s="397" t="s">
        <v>650</v>
      </c>
      <c r="S443" s="396" t="s">
        <v>76</v>
      </c>
      <c r="T443" s="568">
        <v>1</v>
      </c>
      <c r="U443" s="1668">
        <v>35848</v>
      </c>
      <c r="V443" s="569" t="s">
        <v>82</v>
      </c>
      <c r="W443" s="569" t="s">
        <v>138</v>
      </c>
      <c r="X443" s="842">
        <f t="shared" ca="1" si="29"/>
        <v>14.91388888888889</v>
      </c>
    </row>
    <row r="444" spans="1:25" ht="12" customHeight="1">
      <c r="A444" s="48">
        <v>432</v>
      </c>
      <c r="B444" s="1350" t="s">
        <v>1820</v>
      </c>
      <c r="C444" s="1669" t="s">
        <v>651</v>
      </c>
      <c r="D444" s="2112"/>
      <c r="E444" s="394">
        <v>1</v>
      </c>
      <c r="F444" s="3092"/>
      <c r="G444" s="395"/>
      <c r="H444" s="395"/>
      <c r="I444" s="2108" t="s">
        <v>657</v>
      </c>
      <c r="J444" s="396" t="s">
        <v>640</v>
      </c>
      <c r="K444" s="396" t="s">
        <v>640</v>
      </c>
      <c r="L444" s="396" t="s">
        <v>640</v>
      </c>
      <c r="M444" s="396" t="s">
        <v>640</v>
      </c>
      <c r="N444" s="396" t="s">
        <v>640</v>
      </c>
      <c r="O444" s="396" t="s">
        <v>640</v>
      </c>
      <c r="P444" s="396" t="s">
        <v>640</v>
      </c>
      <c r="Q444" s="396" t="s">
        <v>640</v>
      </c>
      <c r="R444" s="397" t="s">
        <v>217</v>
      </c>
      <c r="S444" s="396" t="s">
        <v>76</v>
      </c>
      <c r="T444" s="568">
        <v>1</v>
      </c>
      <c r="U444" s="1668">
        <v>39084</v>
      </c>
      <c r="V444" s="569" t="s">
        <v>82</v>
      </c>
      <c r="W444" s="569" t="s">
        <v>218</v>
      </c>
      <c r="X444" s="842">
        <f t="shared" ca="1" si="29"/>
        <v>6.052777777777778</v>
      </c>
      <c r="Y444" s="48">
        <v>432</v>
      </c>
    </row>
    <row r="445" spans="1:25" ht="12" customHeight="1">
      <c r="B445" s="2206" t="s">
        <v>47</v>
      </c>
      <c r="C445" s="2187" t="s">
        <v>652</v>
      </c>
      <c r="D445" s="2188" t="s">
        <v>46</v>
      </c>
      <c r="E445" s="3077">
        <v>1</v>
      </c>
      <c r="F445" s="3094"/>
      <c r="G445" s="2189"/>
      <c r="H445" s="2189"/>
      <c r="I445" s="2190" t="s">
        <v>657</v>
      </c>
      <c r="J445" s="2191" t="s">
        <v>640</v>
      </c>
      <c r="K445" s="2191" t="s">
        <v>640</v>
      </c>
      <c r="L445" s="2191" t="s">
        <v>640</v>
      </c>
      <c r="M445" s="2191" t="s">
        <v>640</v>
      </c>
      <c r="N445" s="2191" t="s">
        <v>640</v>
      </c>
      <c r="O445" s="2191" t="s">
        <v>640</v>
      </c>
      <c r="P445" s="2191" t="s">
        <v>640</v>
      </c>
      <c r="Q445" s="2191" t="s">
        <v>640</v>
      </c>
      <c r="R445" s="2192" t="s">
        <v>653</v>
      </c>
      <c r="S445" s="2191" t="s">
        <v>76</v>
      </c>
      <c r="T445" s="2193">
        <v>1</v>
      </c>
      <c r="U445" s="2194">
        <v>38247</v>
      </c>
      <c r="V445" s="2195" t="s">
        <v>129</v>
      </c>
      <c r="W445" s="2195" t="s">
        <v>1180</v>
      </c>
      <c r="X445" s="2196">
        <f t="shared" ca="1" si="29"/>
        <v>8.344444444444445</v>
      </c>
    </row>
    <row r="446" spans="1:25" ht="12" customHeight="1">
      <c r="A446" s="48">
        <v>434</v>
      </c>
      <c r="B446" s="2197" t="s">
        <v>47</v>
      </c>
      <c r="C446" s="2198" t="s">
        <v>654</v>
      </c>
      <c r="D446" s="2207"/>
      <c r="E446" s="3078">
        <v>1</v>
      </c>
      <c r="F446" s="3095"/>
      <c r="G446" s="2200"/>
      <c r="H446" s="2200"/>
      <c r="I446" s="2201" t="s">
        <v>657</v>
      </c>
      <c r="J446" s="2200" t="s">
        <v>640</v>
      </c>
      <c r="K446" s="2200" t="s">
        <v>640</v>
      </c>
      <c r="L446" s="2200" t="s">
        <v>640</v>
      </c>
      <c r="M446" s="2200" t="s">
        <v>640</v>
      </c>
      <c r="N446" s="2200" t="s">
        <v>640</v>
      </c>
      <c r="O446" s="2200" t="s">
        <v>640</v>
      </c>
      <c r="P446" s="2200" t="s">
        <v>640</v>
      </c>
      <c r="Q446" s="2200" t="s">
        <v>640</v>
      </c>
      <c r="R446" s="2202" t="s">
        <v>653</v>
      </c>
      <c r="S446" s="2200" t="s">
        <v>76</v>
      </c>
      <c r="T446" s="2203">
        <v>1</v>
      </c>
      <c r="U446" s="2204">
        <v>38437</v>
      </c>
      <c r="V446" s="2205" t="s">
        <v>129</v>
      </c>
      <c r="W446" s="2205" t="s">
        <v>1180</v>
      </c>
      <c r="X446" s="2185">
        <f t="shared" ca="1" si="29"/>
        <v>7.8194444444444446</v>
      </c>
      <c r="Y446" s="48">
        <v>434</v>
      </c>
    </row>
    <row r="447" spans="1:25" ht="12" customHeight="1">
      <c r="B447" s="570" t="s">
        <v>47</v>
      </c>
      <c r="C447" s="393" t="s">
        <v>655</v>
      </c>
      <c r="D447" s="2114"/>
      <c r="E447" s="3079">
        <v>1</v>
      </c>
      <c r="F447" s="3092"/>
      <c r="G447" s="396"/>
      <c r="H447" s="396"/>
      <c r="I447" s="396" t="s">
        <v>657</v>
      </c>
      <c r="J447" s="396" t="s">
        <v>640</v>
      </c>
      <c r="K447" s="396" t="s">
        <v>640</v>
      </c>
      <c r="L447" s="396" t="s">
        <v>640</v>
      </c>
      <c r="M447" s="396" t="s">
        <v>640</v>
      </c>
      <c r="N447" s="396" t="s">
        <v>640</v>
      </c>
      <c r="O447" s="396" t="s">
        <v>640</v>
      </c>
      <c r="P447" s="396" t="s">
        <v>640</v>
      </c>
      <c r="Q447" s="396" t="s">
        <v>640</v>
      </c>
      <c r="R447" s="397" t="s">
        <v>653</v>
      </c>
      <c r="S447" s="396" t="s">
        <v>76</v>
      </c>
      <c r="T447" s="568">
        <v>1</v>
      </c>
      <c r="U447" s="1668">
        <v>38654</v>
      </c>
      <c r="V447" s="569" t="s">
        <v>129</v>
      </c>
      <c r="W447" s="569" t="s">
        <v>1180</v>
      </c>
      <c r="X447" s="842">
        <f t="shared" ca="1" si="29"/>
        <v>7.2277777777777779</v>
      </c>
    </row>
    <row r="448" spans="1:25" ht="12" customHeight="1">
      <c r="A448" s="48">
        <v>436</v>
      </c>
      <c r="B448" s="1351" t="s">
        <v>1820</v>
      </c>
      <c r="C448" s="398" t="s">
        <v>656</v>
      </c>
      <c r="D448" s="2115"/>
      <c r="E448" s="3080">
        <v>1</v>
      </c>
      <c r="F448" s="3096"/>
      <c r="G448" s="2116"/>
      <c r="H448" s="2116"/>
      <c r="I448" s="1490" t="s">
        <v>657</v>
      </c>
      <c r="J448" s="396" t="s">
        <v>640</v>
      </c>
      <c r="K448" s="396" t="s">
        <v>640</v>
      </c>
      <c r="L448" s="396" t="s">
        <v>640</v>
      </c>
      <c r="M448" s="396" t="s">
        <v>640</v>
      </c>
      <c r="N448" s="396" t="s">
        <v>640</v>
      </c>
      <c r="O448" s="396" t="s">
        <v>640</v>
      </c>
      <c r="P448" s="396" t="s">
        <v>640</v>
      </c>
      <c r="Q448" s="396" t="s">
        <v>640</v>
      </c>
      <c r="R448" s="2117" t="s">
        <v>658</v>
      </c>
      <c r="S448" s="2116" t="s">
        <v>76</v>
      </c>
      <c r="T448" s="571">
        <v>1</v>
      </c>
      <c r="U448" s="2118">
        <v>38708</v>
      </c>
      <c r="V448" s="2119" t="s">
        <v>89</v>
      </c>
      <c r="W448" s="2119" t="s">
        <v>139</v>
      </c>
      <c r="X448" s="842">
        <f t="shared" ca="1" si="29"/>
        <v>7.0805555555555557</v>
      </c>
      <c r="Y448" s="48">
        <v>436</v>
      </c>
    </row>
    <row r="449" spans="1:25" ht="12" customHeight="1">
      <c r="B449" s="2206" t="s">
        <v>47</v>
      </c>
      <c r="C449" s="2208" t="s">
        <v>659</v>
      </c>
      <c r="D449" s="2188"/>
      <c r="E449" s="3081">
        <v>1</v>
      </c>
      <c r="F449" s="3097"/>
      <c r="G449" s="2189"/>
      <c r="H449" s="2189"/>
      <c r="I449" s="2209" t="s">
        <v>657</v>
      </c>
      <c r="J449" s="2191" t="s">
        <v>640</v>
      </c>
      <c r="K449" s="2191" t="s">
        <v>640</v>
      </c>
      <c r="L449" s="2191" t="s">
        <v>640</v>
      </c>
      <c r="M449" s="2191" t="s">
        <v>640</v>
      </c>
      <c r="N449" s="2191" t="s">
        <v>640</v>
      </c>
      <c r="O449" s="2191" t="s">
        <v>640</v>
      </c>
      <c r="P449" s="2191" t="s">
        <v>640</v>
      </c>
      <c r="Q449" s="2191" t="s">
        <v>640</v>
      </c>
      <c r="R449" s="2192" t="s">
        <v>660</v>
      </c>
      <c r="S449" s="2191" t="s">
        <v>185</v>
      </c>
      <c r="T449" s="2193">
        <v>1</v>
      </c>
      <c r="U449" s="2194">
        <v>35892</v>
      </c>
      <c r="V449" s="2195" t="s">
        <v>435</v>
      </c>
      <c r="W449" s="2195" t="s">
        <v>138</v>
      </c>
      <c r="X449" s="2196">
        <f t="shared" ca="1" si="29"/>
        <v>14.78888888888889</v>
      </c>
    </row>
    <row r="450" spans="1:25" ht="12" customHeight="1">
      <c r="A450" s="48">
        <v>438</v>
      </c>
      <c r="B450" s="2210" t="s">
        <v>47</v>
      </c>
      <c r="C450" s="2211" t="s">
        <v>661</v>
      </c>
      <c r="D450" s="2199" t="s">
        <v>46</v>
      </c>
      <c r="E450" s="3082">
        <v>1</v>
      </c>
      <c r="F450" s="3098"/>
      <c r="G450" s="2212"/>
      <c r="H450" s="2212"/>
      <c r="I450" s="2178" t="s">
        <v>657</v>
      </c>
      <c r="J450" s="2200" t="s">
        <v>640</v>
      </c>
      <c r="K450" s="2200" t="s">
        <v>640</v>
      </c>
      <c r="L450" s="2200" t="s">
        <v>640</v>
      </c>
      <c r="M450" s="2200" t="s">
        <v>640</v>
      </c>
      <c r="N450" s="2200" t="s">
        <v>640</v>
      </c>
      <c r="O450" s="2200" t="s">
        <v>640</v>
      </c>
      <c r="P450" s="2200" t="s">
        <v>640</v>
      </c>
      <c r="Q450" s="2200" t="s">
        <v>640</v>
      </c>
      <c r="R450" s="2202" t="s">
        <v>662</v>
      </c>
      <c r="S450" s="2200" t="s">
        <v>185</v>
      </c>
      <c r="T450" s="2203">
        <v>1</v>
      </c>
      <c r="U450" s="2204">
        <v>33100</v>
      </c>
      <c r="V450" s="2213" t="s">
        <v>138</v>
      </c>
      <c r="W450" s="2205" t="s">
        <v>663</v>
      </c>
      <c r="X450" s="2185">
        <f t="shared" ca="1" si="29"/>
        <v>22.433333333333334</v>
      </c>
      <c r="Y450" s="48">
        <v>438</v>
      </c>
    </row>
    <row r="451" spans="1:25" ht="12" customHeight="1">
      <c r="B451" s="573" t="s">
        <v>47</v>
      </c>
      <c r="C451" s="398" t="s">
        <v>1500</v>
      </c>
      <c r="D451" s="2120"/>
      <c r="E451" s="3080">
        <v>1</v>
      </c>
      <c r="F451" s="3093"/>
      <c r="G451" s="399"/>
      <c r="H451" s="399"/>
      <c r="I451" s="1490">
        <v>92730741</v>
      </c>
      <c r="J451" s="390" t="s">
        <v>641</v>
      </c>
      <c r="K451" s="390">
        <v>19914973</v>
      </c>
      <c r="L451" s="390" t="s">
        <v>641</v>
      </c>
      <c r="M451" s="390">
        <v>594011053</v>
      </c>
      <c r="N451" s="390" t="s">
        <v>641</v>
      </c>
      <c r="O451" s="390">
        <v>432754083</v>
      </c>
      <c r="P451" s="390">
        <v>42994101</v>
      </c>
      <c r="Q451" s="390">
        <v>264953634</v>
      </c>
      <c r="R451" s="400" t="s">
        <v>409</v>
      </c>
      <c r="S451" s="401" t="s">
        <v>76</v>
      </c>
      <c r="T451" s="571">
        <v>1</v>
      </c>
      <c r="U451" s="1670">
        <v>36491</v>
      </c>
      <c r="V451" s="572" t="s">
        <v>82</v>
      </c>
      <c r="W451" s="572" t="s">
        <v>410</v>
      </c>
      <c r="X451" s="842">
        <f t="shared" ca="1" si="29"/>
        <v>13.15</v>
      </c>
    </row>
    <row r="452" spans="1:25" ht="12" customHeight="1">
      <c r="A452" s="48">
        <v>440</v>
      </c>
      <c r="B452" s="565" t="s">
        <v>47</v>
      </c>
      <c r="C452" s="402" t="s">
        <v>327</v>
      </c>
      <c r="D452" s="2110"/>
      <c r="E452" s="403">
        <v>1</v>
      </c>
      <c r="F452" s="3093"/>
      <c r="G452" s="406"/>
      <c r="H452" s="406"/>
      <c r="I452" s="2111">
        <v>90519077</v>
      </c>
      <c r="J452" s="392" t="s">
        <v>641</v>
      </c>
      <c r="K452" s="392">
        <v>17355397</v>
      </c>
      <c r="L452" s="392" t="s">
        <v>641</v>
      </c>
      <c r="M452" s="392">
        <v>596458536</v>
      </c>
      <c r="N452" s="392" t="s">
        <v>641</v>
      </c>
      <c r="O452" s="390">
        <v>366982558</v>
      </c>
      <c r="P452" s="392">
        <v>42037642</v>
      </c>
      <c r="Q452" s="392">
        <v>221796499</v>
      </c>
      <c r="R452" s="391" t="s">
        <v>328</v>
      </c>
      <c r="S452" s="392" t="s">
        <v>76</v>
      </c>
      <c r="T452" s="576">
        <v>8</v>
      </c>
      <c r="U452" s="1667">
        <v>39503</v>
      </c>
      <c r="V452" s="567" t="s">
        <v>84</v>
      </c>
      <c r="W452" s="567" t="s">
        <v>329</v>
      </c>
      <c r="X452" s="842">
        <f t="shared" ca="1" si="29"/>
        <v>4.9055555555555559</v>
      </c>
      <c r="Y452" s="48">
        <v>440</v>
      </c>
    </row>
    <row r="453" spans="1:25" ht="12" customHeight="1">
      <c r="B453" s="2214" t="s">
        <v>47</v>
      </c>
      <c r="C453" s="2215" t="s">
        <v>664</v>
      </c>
      <c r="D453" s="2216" t="s">
        <v>46</v>
      </c>
      <c r="E453" s="3081">
        <v>1</v>
      </c>
      <c r="F453" s="3097"/>
      <c r="G453" s="2217"/>
      <c r="H453" s="2217"/>
      <c r="I453" s="2209" t="s">
        <v>657</v>
      </c>
      <c r="J453" s="2191" t="s">
        <v>640</v>
      </c>
      <c r="K453" s="2191" t="s">
        <v>640</v>
      </c>
      <c r="L453" s="2191" t="s">
        <v>640</v>
      </c>
      <c r="M453" s="2191" t="s">
        <v>640</v>
      </c>
      <c r="N453" s="2191" t="s">
        <v>640</v>
      </c>
      <c r="O453" s="2191" t="s">
        <v>640</v>
      </c>
      <c r="P453" s="2191" t="s">
        <v>640</v>
      </c>
      <c r="Q453" s="2191" t="s">
        <v>640</v>
      </c>
      <c r="R453" s="2218" t="s">
        <v>665</v>
      </c>
      <c r="S453" s="2219" t="s">
        <v>185</v>
      </c>
      <c r="T453" s="2220">
        <v>1</v>
      </c>
      <c r="U453" s="2221">
        <v>36497</v>
      </c>
      <c r="V453" s="2222" t="s">
        <v>138</v>
      </c>
      <c r="W453" s="2222" t="s">
        <v>666</v>
      </c>
      <c r="X453" s="2196">
        <f t="shared" ca="1" si="29"/>
        <v>13.133333333333333</v>
      </c>
    </row>
    <row r="454" spans="1:25" ht="12" customHeight="1">
      <c r="A454" s="48">
        <v>442</v>
      </c>
      <c r="B454" s="2223" t="s">
        <v>1820</v>
      </c>
      <c r="C454" s="2198" t="s">
        <v>667</v>
      </c>
      <c r="D454" s="2224"/>
      <c r="E454" s="3078">
        <v>1</v>
      </c>
      <c r="F454" s="3095"/>
      <c r="G454" s="2200"/>
      <c r="H454" s="2200"/>
      <c r="I454" s="2201" t="s">
        <v>657</v>
      </c>
      <c r="J454" s="2200" t="s">
        <v>640</v>
      </c>
      <c r="K454" s="2200" t="s">
        <v>640</v>
      </c>
      <c r="L454" s="2200" t="s">
        <v>640</v>
      </c>
      <c r="M454" s="2200" t="s">
        <v>640</v>
      </c>
      <c r="N454" s="2200" t="s">
        <v>640</v>
      </c>
      <c r="O454" s="2200" t="s">
        <v>640</v>
      </c>
      <c r="P454" s="2200" t="s">
        <v>640</v>
      </c>
      <c r="Q454" s="2200" t="s">
        <v>640</v>
      </c>
      <c r="R454" s="2202" t="s">
        <v>668</v>
      </c>
      <c r="S454" s="2200" t="s">
        <v>76</v>
      </c>
      <c r="T454" s="2203">
        <v>1</v>
      </c>
      <c r="U454" s="2204">
        <v>37663</v>
      </c>
      <c r="V454" s="2205" t="s">
        <v>138</v>
      </c>
      <c r="W454" s="2205" t="s">
        <v>138</v>
      </c>
      <c r="X454" s="2185">
        <f t="shared" ca="1" si="29"/>
        <v>9.9444444444444446</v>
      </c>
      <c r="Y454" s="48">
        <v>442</v>
      </c>
    </row>
    <row r="455" spans="1:25" ht="12" customHeight="1">
      <c r="B455" s="565" t="s">
        <v>47</v>
      </c>
      <c r="C455" s="932" t="s">
        <v>1220</v>
      </c>
      <c r="D455" s="2113" t="s">
        <v>46</v>
      </c>
      <c r="E455" s="403">
        <v>1</v>
      </c>
      <c r="F455" s="3093"/>
      <c r="G455" s="404"/>
      <c r="H455" s="404"/>
      <c r="I455" s="2121">
        <v>94746421</v>
      </c>
      <c r="J455" s="392">
        <v>118246986</v>
      </c>
      <c r="K455" s="392">
        <v>18293647</v>
      </c>
      <c r="L455" s="392" t="s">
        <v>641</v>
      </c>
      <c r="M455" s="392" t="s">
        <v>641</v>
      </c>
      <c r="N455" s="392">
        <v>484981835</v>
      </c>
      <c r="O455" s="390" t="s">
        <v>641</v>
      </c>
      <c r="P455" s="392">
        <v>40811822</v>
      </c>
      <c r="Q455" s="392" t="s">
        <v>641</v>
      </c>
      <c r="R455" s="400" t="s">
        <v>1223</v>
      </c>
      <c r="S455" s="401" t="s">
        <v>76</v>
      </c>
      <c r="T455" s="571">
        <v>1</v>
      </c>
      <c r="U455" s="1670">
        <v>39898</v>
      </c>
      <c r="V455" s="574" t="s">
        <v>138</v>
      </c>
      <c r="W455" s="572" t="s">
        <v>1221</v>
      </c>
      <c r="X455" s="842">
        <f t="shared" ca="1" si="29"/>
        <v>3.8194444444444446</v>
      </c>
    </row>
    <row r="456" spans="1:25" ht="12" customHeight="1">
      <c r="A456" s="48">
        <v>444</v>
      </c>
      <c r="B456" s="570" t="s">
        <v>47</v>
      </c>
      <c r="C456" s="882" t="s">
        <v>669</v>
      </c>
      <c r="D456" s="2112"/>
      <c r="E456" s="3083">
        <v>1</v>
      </c>
      <c r="F456" s="3099"/>
      <c r="G456" s="395"/>
      <c r="H456" s="395"/>
      <c r="I456" s="2122" t="s">
        <v>657</v>
      </c>
      <c r="J456" s="390" t="s">
        <v>640</v>
      </c>
      <c r="K456" s="390" t="s">
        <v>640</v>
      </c>
      <c r="L456" s="390" t="s">
        <v>640</v>
      </c>
      <c r="M456" s="390" t="s">
        <v>640</v>
      </c>
      <c r="N456" s="390" t="s">
        <v>640</v>
      </c>
      <c r="O456" s="390" t="s">
        <v>640</v>
      </c>
      <c r="P456" s="390" t="s">
        <v>640</v>
      </c>
      <c r="Q456" s="390" t="s">
        <v>640</v>
      </c>
      <c r="R456" s="397" t="s">
        <v>670</v>
      </c>
      <c r="S456" s="396" t="s">
        <v>185</v>
      </c>
      <c r="T456" s="568">
        <v>1</v>
      </c>
      <c r="U456" s="1668">
        <v>35373</v>
      </c>
      <c r="V456" s="569" t="s">
        <v>84</v>
      </c>
      <c r="W456" s="569" t="s">
        <v>138</v>
      </c>
      <c r="X456" s="842">
        <f t="shared" ca="1" si="29"/>
        <v>16.213888888888889</v>
      </c>
      <c r="Y456" s="48">
        <v>444</v>
      </c>
    </row>
    <row r="457" spans="1:25" ht="12" customHeight="1">
      <c r="A457" s="48"/>
      <c r="B457" s="2206" t="s">
        <v>47</v>
      </c>
      <c r="C457" s="2208" t="s">
        <v>671</v>
      </c>
      <c r="D457" s="2188"/>
      <c r="E457" s="3077">
        <v>1</v>
      </c>
      <c r="F457" s="3094"/>
      <c r="G457" s="2189"/>
      <c r="H457" s="2189"/>
      <c r="I457" s="2225" t="s">
        <v>657</v>
      </c>
      <c r="J457" s="2191" t="s">
        <v>640</v>
      </c>
      <c r="K457" s="2191" t="s">
        <v>640</v>
      </c>
      <c r="L457" s="2191" t="s">
        <v>640</v>
      </c>
      <c r="M457" s="2191" t="s">
        <v>640</v>
      </c>
      <c r="N457" s="2191" t="s">
        <v>640</v>
      </c>
      <c r="O457" s="2191" t="s">
        <v>640</v>
      </c>
      <c r="P457" s="2191" t="s">
        <v>640</v>
      </c>
      <c r="Q457" s="2191" t="s">
        <v>640</v>
      </c>
      <c r="R457" s="2192" t="s">
        <v>672</v>
      </c>
      <c r="S457" s="2191" t="s">
        <v>185</v>
      </c>
      <c r="T457" s="2193">
        <v>1</v>
      </c>
      <c r="U457" s="2194">
        <v>35794</v>
      </c>
      <c r="V457" s="2195" t="s">
        <v>673</v>
      </c>
      <c r="W457" s="2195" t="s">
        <v>138</v>
      </c>
      <c r="X457" s="2196">
        <f t="shared" ca="1" si="29"/>
        <v>15.058333333333334</v>
      </c>
      <c r="Y457" s="48"/>
    </row>
    <row r="458" spans="1:25" ht="12" customHeight="1">
      <c r="A458" s="48">
        <v>446</v>
      </c>
      <c r="B458" s="2210" t="s">
        <v>47</v>
      </c>
      <c r="C458" s="2226" t="s">
        <v>90</v>
      </c>
      <c r="D458" s="2199" t="s">
        <v>46</v>
      </c>
      <c r="E458" s="3084">
        <v>1</v>
      </c>
      <c r="F458" s="3100"/>
      <c r="G458" s="2227"/>
      <c r="H458" s="2227"/>
      <c r="I458" s="2179" t="s">
        <v>641</v>
      </c>
      <c r="J458" s="2178" t="s">
        <v>641</v>
      </c>
      <c r="K458" s="2178">
        <v>37979699</v>
      </c>
      <c r="L458" s="2178" t="s">
        <v>641</v>
      </c>
      <c r="M458" s="2178">
        <v>576791694</v>
      </c>
      <c r="N458" s="2178">
        <v>481546590</v>
      </c>
      <c r="O458" s="2178">
        <v>286087213</v>
      </c>
      <c r="P458" s="2178">
        <v>30101150</v>
      </c>
      <c r="Q458" s="2178">
        <v>155950169</v>
      </c>
      <c r="R458" s="2228" t="s">
        <v>91</v>
      </c>
      <c r="S458" s="2178" t="s">
        <v>76</v>
      </c>
      <c r="T458" s="2182">
        <v>1</v>
      </c>
      <c r="U458" s="2229">
        <v>38376</v>
      </c>
      <c r="V458" s="2230" t="s">
        <v>92</v>
      </c>
      <c r="W458" s="2230" t="s">
        <v>1180</v>
      </c>
      <c r="X458" s="2185">
        <f t="shared" ca="1" si="29"/>
        <v>7.9916666666666663</v>
      </c>
      <c r="Y458" s="48">
        <v>446</v>
      </c>
    </row>
    <row r="459" spans="1:25" ht="12" customHeight="1">
      <c r="B459" s="565" t="s">
        <v>47</v>
      </c>
      <c r="C459" s="402" t="s">
        <v>674</v>
      </c>
      <c r="D459" s="2123" t="s">
        <v>46</v>
      </c>
      <c r="E459" s="403">
        <v>1</v>
      </c>
      <c r="F459" s="3096"/>
      <c r="G459" s="389"/>
      <c r="H459" s="389"/>
      <c r="I459" s="2106" t="s">
        <v>657</v>
      </c>
      <c r="J459" s="396" t="s">
        <v>640</v>
      </c>
      <c r="K459" s="396" t="s">
        <v>640</v>
      </c>
      <c r="L459" s="396" t="s">
        <v>640</v>
      </c>
      <c r="M459" s="396" t="s">
        <v>640</v>
      </c>
      <c r="N459" s="396" t="s">
        <v>640</v>
      </c>
      <c r="O459" s="396" t="s">
        <v>640</v>
      </c>
      <c r="P459" s="396" t="s">
        <v>640</v>
      </c>
      <c r="Q459" s="396" t="s">
        <v>640</v>
      </c>
      <c r="R459" s="405" t="s">
        <v>75</v>
      </c>
      <c r="S459" s="390" t="s">
        <v>76</v>
      </c>
      <c r="T459" s="566">
        <v>1</v>
      </c>
      <c r="U459" s="1671">
        <v>39690</v>
      </c>
      <c r="V459" s="575" t="s">
        <v>675</v>
      </c>
      <c r="W459" s="575" t="s">
        <v>1180</v>
      </c>
      <c r="X459" s="842">
        <f t="shared" ca="1" si="29"/>
        <v>4.3916666666666666</v>
      </c>
    </row>
    <row r="460" spans="1:25" ht="12" customHeight="1">
      <c r="A460" s="48">
        <v>448</v>
      </c>
      <c r="B460" s="1352" t="s">
        <v>1820</v>
      </c>
      <c r="C460" s="402" t="s">
        <v>865</v>
      </c>
      <c r="D460" s="2123"/>
      <c r="E460" s="403">
        <v>1</v>
      </c>
      <c r="F460" s="3093"/>
      <c r="G460" s="389">
        <f>93+247+176+25+24+0+202+398+50+159+104+13+80+39+0+135</f>
        <v>1745</v>
      </c>
      <c r="H460" s="2124"/>
      <c r="I460" s="2106">
        <v>78015373</v>
      </c>
      <c r="J460" s="390" t="s">
        <v>641</v>
      </c>
      <c r="K460" s="390">
        <v>18487698</v>
      </c>
      <c r="L460" s="390" t="s">
        <v>641</v>
      </c>
      <c r="M460" s="390">
        <v>581880121</v>
      </c>
      <c r="N460" s="390" t="s">
        <v>641</v>
      </c>
      <c r="O460" s="390">
        <v>365813833</v>
      </c>
      <c r="P460" s="390">
        <v>36900655</v>
      </c>
      <c r="Q460" s="390">
        <v>196472241</v>
      </c>
      <c r="R460" s="391" t="s">
        <v>103</v>
      </c>
      <c r="S460" s="390" t="s">
        <v>76</v>
      </c>
      <c r="T460" s="2125">
        <v>2</v>
      </c>
      <c r="U460" s="1667">
        <v>40011</v>
      </c>
      <c r="V460" s="567" t="s">
        <v>89</v>
      </c>
      <c r="W460" s="567" t="s">
        <v>163</v>
      </c>
      <c r="X460" s="842">
        <f t="shared" ca="1" si="29"/>
        <v>3.5111111111111111</v>
      </c>
      <c r="Y460" s="48">
        <v>448</v>
      </c>
    </row>
    <row r="461" spans="1:25" ht="12" customHeight="1">
      <c r="A461" s="48"/>
      <c r="B461" s="2206" t="s">
        <v>47</v>
      </c>
      <c r="C461" s="2187" t="s">
        <v>1020</v>
      </c>
      <c r="D461" s="2231" t="s">
        <v>46</v>
      </c>
      <c r="E461" s="3077">
        <v>1</v>
      </c>
      <c r="F461" s="3094"/>
      <c r="G461" s="2191"/>
      <c r="H461" s="2191"/>
      <c r="I461" s="2225" t="s">
        <v>657</v>
      </c>
      <c r="J461" s="2191" t="s">
        <v>640</v>
      </c>
      <c r="K461" s="2191" t="s">
        <v>640</v>
      </c>
      <c r="L461" s="2191" t="s">
        <v>640</v>
      </c>
      <c r="M461" s="2191" t="s">
        <v>640</v>
      </c>
      <c r="N461" s="2191" t="s">
        <v>640</v>
      </c>
      <c r="O461" s="2191" t="s">
        <v>640</v>
      </c>
      <c r="P461" s="2191" t="s">
        <v>640</v>
      </c>
      <c r="Q461" s="2191" t="s">
        <v>640</v>
      </c>
      <c r="R461" s="2192" t="s">
        <v>676</v>
      </c>
      <c r="S461" s="2191" t="s">
        <v>76</v>
      </c>
      <c r="T461" s="2193">
        <v>1</v>
      </c>
      <c r="U461" s="2194">
        <v>38844</v>
      </c>
      <c r="V461" s="2195" t="s">
        <v>224</v>
      </c>
      <c r="W461" s="2195" t="s">
        <v>677</v>
      </c>
      <c r="X461" s="2196">
        <f t="shared" ca="1" si="29"/>
        <v>6.7055555555555557</v>
      </c>
      <c r="Y461" s="48"/>
    </row>
    <row r="462" spans="1:25" ht="12" customHeight="1">
      <c r="A462" s="48">
        <v>450</v>
      </c>
      <c r="B462" s="2210" t="s">
        <v>47</v>
      </c>
      <c r="C462" s="2232" t="s">
        <v>1141</v>
      </c>
      <c r="D462" s="2177" t="s">
        <v>46</v>
      </c>
      <c r="E462" s="3085">
        <v>1</v>
      </c>
      <c r="F462" s="3091"/>
      <c r="G462" s="2233"/>
      <c r="H462" s="2234"/>
      <c r="I462" s="2235" t="s">
        <v>657</v>
      </c>
      <c r="J462" s="2236" t="s">
        <v>640</v>
      </c>
      <c r="K462" s="2236" t="s">
        <v>640</v>
      </c>
      <c r="L462" s="2237" t="s">
        <v>640</v>
      </c>
      <c r="M462" s="2236" t="s">
        <v>640</v>
      </c>
      <c r="N462" s="2237" t="s">
        <v>640</v>
      </c>
      <c r="O462" s="2178" t="s">
        <v>640</v>
      </c>
      <c r="P462" s="2236" t="s">
        <v>640</v>
      </c>
      <c r="Q462" s="2236" t="s">
        <v>640</v>
      </c>
      <c r="R462" s="2181" t="s">
        <v>1142</v>
      </c>
      <c r="S462" s="2236" t="s">
        <v>185</v>
      </c>
      <c r="T462" s="2182">
        <v>1</v>
      </c>
      <c r="U462" s="2229">
        <v>36034</v>
      </c>
      <c r="V462" s="2238" t="s">
        <v>89</v>
      </c>
      <c r="W462" s="2238" t="s">
        <v>684</v>
      </c>
      <c r="X462" s="2185">
        <f t="shared" ca="1" si="29"/>
        <v>14.4</v>
      </c>
      <c r="Y462" s="48">
        <v>450</v>
      </c>
    </row>
    <row r="463" spans="1:25" ht="12" customHeight="1">
      <c r="A463" s="48"/>
      <c r="B463" s="565" t="s">
        <v>47</v>
      </c>
      <c r="C463" s="1437" t="s">
        <v>1153</v>
      </c>
      <c r="D463" s="922" t="s">
        <v>46</v>
      </c>
      <c r="E463" s="3086">
        <v>1</v>
      </c>
      <c r="F463" s="3093"/>
      <c r="G463" s="389"/>
      <c r="H463" s="389"/>
      <c r="I463" s="1490" t="s">
        <v>657</v>
      </c>
      <c r="J463" s="390" t="s">
        <v>640</v>
      </c>
      <c r="K463" s="390">
        <v>17414575</v>
      </c>
      <c r="L463" s="390" t="s">
        <v>640</v>
      </c>
      <c r="M463" s="390" t="s">
        <v>640</v>
      </c>
      <c r="N463" s="390" t="s">
        <v>640</v>
      </c>
      <c r="O463" s="390" t="s">
        <v>640</v>
      </c>
      <c r="P463" s="390" t="s">
        <v>640</v>
      </c>
      <c r="Q463" s="390" t="s">
        <v>640</v>
      </c>
      <c r="R463" s="391" t="s">
        <v>1142</v>
      </c>
      <c r="S463" s="392" t="s">
        <v>76</v>
      </c>
      <c r="T463" s="566">
        <v>1</v>
      </c>
      <c r="U463" s="1667">
        <v>38292</v>
      </c>
      <c r="V463" s="567" t="s">
        <v>89</v>
      </c>
      <c r="W463" s="567" t="s">
        <v>684</v>
      </c>
      <c r="X463" s="842">
        <f t="shared" ca="1" si="29"/>
        <v>8.2222222222222214</v>
      </c>
      <c r="Y463" s="48"/>
    </row>
    <row r="464" spans="1:25" ht="12" customHeight="1">
      <c r="A464" s="48">
        <v>452</v>
      </c>
      <c r="B464" s="570" t="s">
        <v>47</v>
      </c>
      <c r="C464" s="882" t="s">
        <v>678</v>
      </c>
      <c r="D464" s="2112"/>
      <c r="E464" s="394">
        <v>1</v>
      </c>
      <c r="F464" s="3092"/>
      <c r="G464" s="395"/>
      <c r="H464" s="395"/>
      <c r="I464" s="2108" t="s">
        <v>657</v>
      </c>
      <c r="J464" s="396" t="s">
        <v>640</v>
      </c>
      <c r="K464" s="396" t="s">
        <v>640</v>
      </c>
      <c r="L464" s="396" t="s">
        <v>640</v>
      </c>
      <c r="M464" s="396" t="s">
        <v>640</v>
      </c>
      <c r="N464" s="396" t="s">
        <v>640</v>
      </c>
      <c r="O464" s="396" t="s">
        <v>640</v>
      </c>
      <c r="P464" s="396" t="s">
        <v>640</v>
      </c>
      <c r="Q464" s="396" t="s">
        <v>640</v>
      </c>
      <c r="R464" s="397" t="s">
        <v>679</v>
      </c>
      <c r="S464" s="396" t="s">
        <v>185</v>
      </c>
      <c r="T464" s="568">
        <v>1</v>
      </c>
      <c r="U464" s="1668">
        <v>38044</v>
      </c>
      <c r="V464" s="569" t="s">
        <v>82</v>
      </c>
      <c r="W464" s="569" t="s">
        <v>188</v>
      </c>
      <c r="X464" s="842">
        <f t="shared" ca="1" si="29"/>
        <v>8.9</v>
      </c>
      <c r="Y464" s="48">
        <v>452</v>
      </c>
    </row>
    <row r="465" spans="1:25" ht="12" customHeight="1">
      <c r="A465" s="48"/>
      <c r="B465" s="2275" t="s">
        <v>47</v>
      </c>
      <c r="C465" s="2239" t="s">
        <v>155</v>
      </c>
      <c r="D465" s="2240"/>
      <c r="E465" s="3087">
        <v>1</v>
      </c>
      <c r="F465" s="3101"/>
      <c r="G465" s="2241"/>
      <c r="H465" s="2241"/>
      <c r="I465" s="2242">
        <v>81098195</v>
      </c>
      <c r="J465" s="2242">
        <v>84645955</v>
      </c>
      <c r="K465" s="2242">
        <v>17054471</v>
      </c>
      <c r="L465" s="2242">
        <v>7000000000</v>
      </c>
      <c r="M465" s="2242">
        <v>589841217</v>
      </c>
      <c r="N465" s="2242" t="s">
        <v>641</v>
      </c>
      <c r="O465" s="2243">
        <v>307254331</v>
      </c>
      <c r="P465" s="2242">
        <v>33230017</v>
      </c>
      <c r="Q465" s="2242">
        <v>169150024</v>
      </c>
      <c r="R465" s="2244" t="s">
        <v>156</v>
      </c>
      <c r="S465" s="2242" t="s">
        <v>76</v>
      </c>
      <c r="T465" s="2245">
        <v>1</v>
      </c>
      <c r="U465" s="2246">
        <v>37834</v>
      </c>
      <c r="V465" s="2247" t="s">
        <v>73</v>
      </c>
      <c r="W465" s="2247" t="s">
        <v>157</v>
      </c>
      <c r="X465" s="2196">
        <f t="shared" ca="1" si="29"/>
        <v>9.4722222222222214</v>
      </c>
      <c r="Y465" s="48"/>
    </row>
    <row r="466" spans="1:25" ht="12" customHeight="1">
      <c r="A466" s="48">
        <v>454</v>
      </c>
      <c r="B466" s="2276" t="s">
        <v>47</v>
      </c>
      <c r="C466" s="2248" t="s">
        <v>680</v>
      </c>
      <c r="D466" s="2249"/>
      <c r="E466" s="3088">
        <v>1</v>
      </c>
      <c r="F466" s="3102"/>
      <c r="G466" s="2250"/>
      <c r="H466" s="2250"/>
      <c r="I466" s="2180" t="s">
        <v>657</v>
      </c>
      <c r="J466" s="2200" t="s">
        <v>640</v>
      </c>
      <c r="K466" s="2200" t="s">
        <v>640</v>
      </c>
      <c r="L466" s="2200" t="s">
        <v>640</v>
      </c>
      <c r="M466" s="2200" t="s">
        <v>640</v>
      </c>
      <c r="N466" s="2200" t="s">
        <v>640</v>
      </c>
      <c r="O466" s="2200" t="s">
        <v>640</v>
      </c>
      <c r="P466" s="2200" t="s">
        <v>640</v>
      </c>
      <c r="Q466" s="2200" t="s">
        <v>640</v>
      </c>
      <c r="R466" s="2251" t="s">
        <v>681</v>
      </c>
      <c r="S466" s="2252" t="s">
        <v>185</v>
      </c>
      <c r="T466" s="2253">
        <v>1</v>
      </c>
      <c r="U466" s="2254">
        <v>35368</v>
      </c>
      <c r="V466" s="2255" t="s">
        <v>73</v>
      </c>
      <c r="W466" s="2255" t="s">
        <v>682</v>
      </c>
      <c r="X466" s="2185">
        <f t="shared" ca="1" si="29"/>
        <v>16.225000000000001</v>
      </c>
      <c r="Y466" s="48">
        <v>454</v>
      </c>
    </row>
    <row r="467" spans="1:25" ht="12" customHeight="1">
      <c r="B467" s="570" t="s">
        <v>47</v>
      </c>
      <c r="C467" s="882" t="s">
        <v>683</v>
      </c>
      <c r="D467" s="2112"/>
      <c r="E467" s="3079">
        <v>1</v>
      </c>
      <c r="F467" s="3103"/>
      <c r="G467" s="395"/>
      <c r="H467" s="395"/>
      <c r="I467" s="2108" t="s">
        <v>657</v>
      </c>
      <c r="J467" s="396" t="s">
        <v>640</v>
      </c>
      <c r="K467" s="396" t="s">
        <v>640</v>
      </c>
      <c r="L467" s="396" t="s">
        <v>640</v>
      </c>
      <c r="M467" s="396" t="s">
        <v>640</v>
      </c>
      <c r="N467" s="396" t="s">
        <v>640</v>
      </c>
      <c r="O467" s="396" t="s">
        <v>640</v>
      </c>
      <c r="P467" s="396" t="s">
        <v>640</v>
      </c>
      <c r="Q467" s="396" t="s">
        <v>640</v>
      </c>
      <c r="R467" s="397" t="s">
        <v>71</v>
      </c>
      <c r="S467" s="396" t="s">
        <v>185</v>
      </c>
      <c r="T467" s="568">
        <v>1</v>
      </c>
      <c r="U467" s="1668">
        <v>36346</v>
      </c>
      <c r="V467" s="569" t="s">
        <v>73</v>
      </c>
      <c r="W467" s="569" t="s">
        <v>684</v>
      </c>
      <c r="X467" s="842">
        <f t="shared" ca="1" si="29"/>
        <v>13.544444444444444</v>
      </c>
    </row>
    <row r="468" spans="1:25" ht="12" customHeight="1">
      <c r="A468" s="48">
        <v>456</v>
      </c>
      <c r="B468" s="565" t="s">
        <v>47</v>
      </c>
      <c r="C468" s="881" t="s">
        <v>685</v>
      </c>
      <c r="D468" s="2113" t="s">
        <v>46</v>
      </c>
      <c r="E468" s="403">
        <v>1</v>
      </c>
      <c r="F468" s="3096"/>
      <c r="G468" s="389"/>
      <c r="H468" s="389"/>
      <c r="I468" s="2109" t="s">
        <v>657</v>
      </c>
      <c r="J468" s="390" t="s">
        <v>640</v>
      </c>
      <c r="K468" s="390" t="s">
        <v>640</v>
      </c>
      <c r="L468" s="390" t="s">
        <v>640</v>
      </c>
      <c r="M468" s="396" t="s">
        <v>640</v>
      </c>
      <c r="N468" s="390" t="s">
        <v>640</v>
      </c>
      <c r="O468" s="390" t="s">
        <v>640</v>
      </c>
      <c r="P468" s="390" t="s">
        <v>640</v>
      </c>
      <c r="Q468" s="390" t="s">
        <v>640</v>
      </c>
      <c r="R468" s="405" t="s">
        <v>686</v>
      </c>
      <c r="S468" s="390" t="s">
        <v>185</v>
      </c>
      <c r="T468" s="566">
        <v>1</v>
      </c>
      <c r="U468" s="1671">
        <v>33348</v>
      </c>
      <c r="V468" s="575" t="s">
        <v>89</v>
      </c>
      <c r="W468" s="575" t="s">
        <v>541</v>
      </c>
      <c r="X468" s="842">
        <f t="shared" ca="1" si="29"/>
        <v>21.752777777777776</v>
      </c>
      <c r="Y468" s="48">
        <v>456</v>
      </c>
    </row>
    <row r="469" spans="1:25" ht="12" customHeight="1">
      <c r="A469" s="48"/>
      <c r="B469" s="2256" t="s">
        <v>1820</v>
      </c>
      <c r="C469" s="2257" t="s">
        <v>1036</v>
      </c>
      <c r="D469" s="2258"/>
      <c r="E469" s="3089">
        <v>1</v>
      </c>
      <c r="F469" s="3097"/>
      <c r="G469" s="2259"/>
      <c r="H469" s="2259"/>
      <c r="I469" s="2260" t="s">
        <v>657</v>
      </c>
      <c r="J469" s="2191" t="s">
        <v>640</v>
      </c>
      <c r="K469" s="2191" t="s">
        <v>640</v>
      </c>
      <c r="L469" s="2191" t="s">
        <v>640</v>
      </c>
      <c r="M469" s="2191" t="s">
        <v>640</v>
      </c>
      <c r="N469" s="2191" t="s">
        <v>640</v>
      </c>
      <c r="O469" s="2191" t="s">
        <v>640</v>
      </c>
      <c r="P469" s="2191" t="s">
        <v>640</v>
      </c>
      <c r="Q469" s="2191" t="s">
        <v>640</v>
      </c>
      <c r="R469" s="2261" t="s">
        <v>133</v>
      </c>
      <c r="S469" s="2262" t="s">
        <v>76</v>
      </c>
      <c r="T469" s="2263">
        <v>8</v>
      </c>
      <c r="U469" s="2264">
        <v>39203</v>
      </c>
      <c r="V469" s="2265" t="s">
        <v>89</v>
      </c>
      <c r="W469" s="2265" t="s">
        <v>687</v>
      </c>
      <c r="X469" s="2196">
        <f t="shared" ca="1" si="29"/>
        <v>5.7222222222222223</v>
      </c>
      <c r="Y469" s="48"/>
    </row>
    <row r="470" spans="1:25" ht="12" customHeight="1">
      <c r="A470" s="48">
        <v>458</v>
      </c>
      <c r="B470" s="2176" t="s">
        <v>1820</v>
      </c>
      <c r="C470" s="2266" t="s">
        <v>137</v>
      </c>
      <c r="D470" s="2267"/>
      <c r="E470" s="3084">
        <v>1</v>
      </c>
      <c r="F470" s="3091"/>
      <c r="G470" s="2233">
        <f>183+806+2099+61+278+262+1031+1128+153+50+48+274+355+69+220+2065+534</f>
        <v>9616</v>
      </c>
      <c r="H470" s="2233"/>
      <c r="I470" s="2268">
        <v>69759334</v>
      </c>
      <c r="J470" s="2269">
        <v>7000000000</v>
      </c>
      <c r="K470" s="2236">
        <v>17853768</v>
      </c>
      <c r="L470" s="2236" t="s">
        <v>1035</v>
      </c>
      <c r="M470" s="2269">
        <v>580396892</v>
      </c>
      <c r="N470" s="2269" t="s">
        <v>1035</v>
      </c>
      <c r="O470" s="2269">
        <v>258628262</v>
      </c>
      <c r="P470" s="2269">
        <v>34526118</v>
      </c>
      <c r="Q470" s="2178">
        <v>213625692</v>
      </c>
      <c r="R470" s="2228" t="s">
        <v>133</v>
      </c>
      <c r="S470" s="2178" t="s">
        <v>76</v>
      </c>
      <c r="T470" s="2270">
        <v>8</v>
      </c>
      <c r="U470" s="2229">
        <v>39385</v>
      </c>
      <c r="V470" s="2230" t="s">
        <v>89</v>
      </c>
      <c r="W470" s="2230" t="s">
        <v>134</v>
      </c>
      <c r="X470" s="2185">
        <f t="shared" ca="1" si="29"/>
        <v>5.2249999999999996</v>
      </c>
      <c r="Y470" s="48">
        <v>458</v>
      </c>
    </row>
    <row r="471" spans="1:25" ht="12" customHeight="1">
      <c r="A471" s="48"/>
      <c r="B471" s="2186" t="s">
        <v>1820</v>
      </c>
      <c r="C471" s="2187" t="s">
        <v>688</v>
      </c>
      <c r="D471" s="2271"/>
      <c r="E471" s="3077">
        <v>1</v>
      </c>
      <c r="F471" s="3094"/>
      <c r="G471" s="2189"/>
      <c r="H471" s="2189"/>
      <c r="I471" s="2191" t="s">
        <v>657</v>
      </c>
      <c r="J471" s="2191" t="s">
        <v>640</v>
      </c>
      <c r="K471" s="2191" t="s">
        <v>640</v>
      </c>
      <c r="L471" s="2191" t="s">
        <v>640</v>
      </c>
      <c r="M471" s="2191" t="s">
        <v>640</v>
      </c>
      <c r="N471" s="2191" t="s">
        <v>640</v>
      </c>
      <c r="O471" s="2191" t="s">
        <v>640</v>
      </c>
      <c r="P471" s="2191" t="s">
        <v>640</v>
      </c>
      <c r="Q471" s="2191" t="s">
        <v>640</v>
      </c>
      <c r="R471" s="2192" t="s">
        <v>71</v>
      </c>
      <c r="S471" s="2191" t="s">
        <v>76</v>
      </c>
      <c r="T471" s="2193">
        <v>1</v>
      </c>
      <c r="U471" s="2194">
        <v>38335</v>
      </c>
      <c r="V471" s="2195" t="s">
        <v>73</v>
      </c>
      <c r="W471" s="2272" t="s">
        <v>689</v>
      </c>
      <c r="X471" s="2196">
        <f t="shared" ca="1" si="29"/>
        <v>8.1027777777777779</v>
      </c>
      <c r="Y471" s="48"/>
    </row>
    <row r="472" spans="1:25" ht="12" customHeight="1">
      <c r="A472" s="48">
        <v>460</v>
      </c>
      <c r="B472" s="2176" t="s">
        <v>1820</v>
      </c>
      <c r="C472" s="2273" t="s">
        <v>78</v>
      </c>
      <c r="D472" s="2274"/>
      <c r="E472" s="3085">
        <v>1</v>
      </c>
      <c r="F472" s="3104"/>
      <c r="G472" s="2233"/>
      <c r="H472" s="2233"/>
      <c r="I472" s="2179">
        <v>65806135</v>
      </c>
      <c r="J472" s="2236" t="s">
        <v>640</v>
      </c>
      <c r="K472" s="2178">
        <v>15985366</v>
      </c>
      <c r="L472" s="2178" t="s">
        <v>641</v>
      </c>
      <c r="M472" s="2178">
        <v>580271322</v>
      </c>
      <c r="N472" s="2178" t="s">
        <v>640</v>
      </c>
      <c r="O472" s="2178">
        <v>245014676</v>
      </c>
      <c r="P472" s="2178">
        <f>27379874+136</f>
        <v>27380010</v>
      </c>
      <c r="Q472" s="2236">
        <v>154630521</v>
      </c>
      <c r="R472" s="2181" t="s">
        <v>71</v>
      </c>
      <c r="S472" s="2236" t="s">
        <v>76</v>
      </c>
      <c r="T472" s="2182">
        <v>1</v>
      </c>
      <c r="U472" s="2183">
        <v>38777</v>
      </c>
      <c r="V472" s="2238" t="s">
        <v>73</v>
      </c>
      <c r="W472" s="2238" t="s">
        <v>74</v>
      </c>
      <c r="X472" s="2185">
        <f t="shared" ca="1" si="29"/>
        <v>6.8888888888888893</v>
      </c>
      <c r="Y472" s="48">
        <v>460</v>
      </c>
    </row>
    <row r="473" spans="1:25" ht="12" customHeight="1">
      <c r="A473" s="48"/>
      <c r="B473" s="1350" t="s">
        <v>1820</v>
      </c>
      <c r="C473" s="393" t="s">
        <v>690</v>
      </c>
      <c r="D473" s="2107"/>
      <c r="E473" s="3079">
        <v>1</v>
      </c>
      <c r="F473" s="3092"/>
      <c r="G473" s="395"/>
      <c r="H473" s="395"/>
      <c r="I473" s="2108" t="s">
        <v>657</v>
      </c>
      <c r="J473" s="396" t="s">
        <v>640</v>
      </c>
      <c r="K473" s="396" t="s">
        <v>640</v>
      </c>
      <c r="L473" s="396" t="s">
        <v>640</v>
      </c>
      <c r="M473" s="396" t="s">
        <v>640</v>
      </c>
      <c r="N473" s="396" t="s">
        <v>640</v>
      </c>
      <c r="O473" s="396" t="s">
        <v>640</v>
      </c>
      <c r="P473" s="396" t="s">
        <v>640</v>
      </c>
      <c r="Q473" s="396" t="s">
        <v>640</v>
      </c>
      <c r="R473" s="397" t="s">
        <v>71</v>
      </c>
      <c r="S473" s="396" t="s">
        <v>76</v>
      </c>
      <c r="T473" s="568">
        <v>1</v>
      </c>
      <c r="U473" s="1668">
        <v>38709</v>
      </c>
      <c r="V473" s="569" t="s">
        <v>73</v>
      </c>
      <c r="W473" s="577" t="s">
        <v>691</v>
      </c>
      <c r="X473" s="842">
        <f t="shared" ca="1" si="29"/>
        <v>7.0777777777777775</v>
      </c>
      <c r="Y473" s="48"/>
    </row>
    <row r="474" spans="1:25" ht="12" customHeight="1" thickBot="1">
      <c r="A474" s="48">
        <v>462</v>
      </c>
      <c r="B474" s="1353" t="s">
        <v>1820</v>
      </c>
      <c r="C474" s="407" t="s">
        <v>1181</v>
      </c>
      <c r="D474" s="578"/>
      <c r="E474" s="408">
        <v>1</v>
      </c>
      <c r="F474" s="3105"/>
      <c r="G474" s="409"/>
      <c r="H474" s="409"/>
      <c r="I474" s="410">
        <v>111578140</v>
      </c>
      <c r="J474" s="411">
        <v>132470243</v>
      </c>
      <c r="K474" s="411">
        <v>27055829</v>
      </c>
      <c r="L474" s="411" t="s">
        <v>641</v>
      </c>
      <c r="M474" s="412" t="s">
        <v>640</v>
      </c>
      <c r="N474" s="411" t="s">
        <v>640</v>
      </c>
      <c r="O474" s="411" t="s">
        <v>640</v>
      </c>
      <c r="P474" s="411" t="s">
        <v>640</v>
      </c>
      <c r="Q474" s="411" t="s">
        <v>640</v>
      </c>
      <c r="R474" s="413" t="s">
        <v>692</v>
      </c>
      <c r="S474" s="411" t="s">
        <v>76</v>
      </c>
      <c r="T474" s="412">
        <v>1</v>
      </c>
      <c r="U474" s="1672">
        <v>36305</v>
      </c>
      <c r="V474" s="579" t="s">
        <v>86</v>
      </c>
      <c r="W474" s="579" t="s">
        <v>476</v>
      </c>
      <c r="X474" s="843">
        <f t="shared" ca="1" si="29"/>
        <v>13.655555555555555</v>
      </c>
      <c r="Y474" s="48">
        <v>462</v>
      </c>
    </row>
    <row r="475" spans="1:25" ht="12" customHeight="1" thickTop="1">
      <c r="A475" s="48"/>
      <c r="Y475" s="48"/>
    </row>
    <row r="476" spans="1:25" ht="14.1" customHeight="1">
      <c r="A476" s="48">
        <v>464</v>
      </c>
      <c r="C476" s="1355" t="s">
        <v>1821</v>
      </c>
      <c r="I476" s="931"/>
      <c r="J476" s="931"/>
      <c r="K476" s="931"/>
      <c r="L476" s="931"/>
      <c r="M476" s="931"/>
      <c r="N476" s="931"/>
      <c r="O476" s="931"/>
      <c r="P476" s="931"/>
      <c r="Q476" s="931"/>
      <c r="R476" s="931"/>
      <c r="S476" s="931"/>
      <c r="T476" s="931"/>
      <c r="Y476" s="48">
        <v>464</v>
      </c>
    </row>
    <row r="477" spans="1:25" ht="14.1" customHeight="1">
      <c r="A477" s="48"/>
      <c r="C477" s="1354" t="s">
        <v>1822</v>
      </c>
      <c r="I477" s="931"/>
      <c r="J477" s="931"/>
      <c r="K477" s="931"/>
      <c r="L477" s="931"/>
      <c r="M477" s="931"/>
      <c r="N477" s="931"/>
      <c r="O477" s="931"/>
      <c r="P477" s="931"/>
      <c r="Q477" s="931"/>
      <c r="R477" s="931"/>
      <c r="S477" s="931"/>
      <c r="T477" s="931"/>
      <c r="Y477" s="48"/>
    </row>
    <row r="478" spans="1:25" ht="14.1" customHeight="1">
      <c r="A478" s="48">
        <v>466</v>
      </c>
      <c r="C478" s="627" t="s">
        <v>1645</v>
      </c>
      <c r="Y478" s="48">
        <v>466</v>
      </c>
    </row>
    <row r="479" spans="1:25" ht="14.1" customHeight="1">
      <c r="A479" s="48"/>
      <c r="C479" s="64" t="s">
        <v>1915</v>
      </c>
      <c r="I479" s="931"/>
      <c r="J479" s="931"/>
      <c r="K479" s="931"/>
      <c r="L479" s="931"/>
      <c r="M479" s="931"/>
      <c r="N479" s="931"/>
      <c r="O479" s="931"/>
      <c r="P479" s="931"/>
      <c r="Q479" s="931"/>
      <c r="R479" s="931"/>
      <c r="S479" s="931"/>
      <c r="T479" s="931"/>
      <c r="Y479" s="48"/>
    </row>
    <row r="480" spans="1:25" ht="14.1" customHeight="1">
      <c r="A480" s="48">
        <v>468</v>
      </c>
      <c r="C480" s="64" t="s">
        <v>1823</v>
      </c>
      <c r="Y480" s="48">
        <v>468</v>
      </c>
    </row>
    <row r="481" spans="1:25" ht="12.75" hidden="1" customHeight="1">
      <c r="A481" s="48"/>
      <c r="C481" s="64" t="s">
        <v>1739</v>
      </c>
      <c r="Y481" s="48"/>
    </row>
    <row r="482" spans="1:25" ht="12.75" hidden="1" customHeight="1">
      <c r="A482" s="48">
        <v>470</v>
      </c>
      <c r="C482" s="627" t="s">
        <v>1645</v>
      </c>
      <c r="Y482" s="48">
        <v>470</v>
      </c>
    </row>
    <row r="483" spans="1:25" ht="12.75" hidden="1" customHeight="1"/>
    <row r="484" spans="1:25" ht="12.75" hidden="1" customHeight="1">
      <c r="A484" s="48">
        <v>472</v>
      </c>
      <c r="Y484" s="48">
        <v>472</v>
      </c>
    </row>
    <row r="485" spans="1:25" ht="12.75" hidden="1" customHeight="1">
      <c r="A485" s="48"/>
      <c r="Y485" s="48"/>
    </row>
    <row r="486" spans="1:25" ht="12.75" hidden="1" customHeight="1">
      <c r="A486" s="48">
        <v>474</v>
      </c>
      <c r="Y486" s="48">
        <v>474</v>
      </c>
    </row>
    <row r="487" spans="1:25" ht="12.75" hidden="1" customHeight="1"/>
    <row r="488" spans="1:25" ht="12.75" hidden="1" customHeight="1">
      <c r="A488" s="48">
        <v>476</v>
      </c>
      <c r="Y488" s="48">
        <v>476</v>
      </c>
    </row>
    <row r="489" spans="1:25" ht="12.75" hidden="1" customHeight="1">
      <c r="A489" s="48"/>
      <c r="Y489" s="48"/>
    </row>
    <row r="490" spans="1:25" ht="12.75" hidden="1" customHeight="1">
      <c r="A490" s="48">
        <v>478</v>
      </c>
      <c r="Y490" s="48">
        <v>478</v>
      </c>
    </row>
    <row r="491" spans="1:25" ht="12.75" hidden="1" customHeight="1">
      <c r="A491" s="48"/>
      <c r="Y491" s="48"/>
    </row>
    <row r="492" spans="1:25" ht="12.75" hidden="1" customHeight="1">
      <c r="A492" s="48">
        <v>480</v>
      </c>
      <c r="Y492" s="48">
        <v>480</v>
      </c>
    </row>
    <row r="493" spans="1:25" ht="12.75" hidden="1" customHeight="1"/>
    <row r="494" spans="1:25" ht="12.75" hidden="1" customHeight="1">
      <c r="A494" s="48">
        <v>482</v>
      </c>
      <c r="Y494" s="48">
        <v>482</v>
      </c>
    </row>
    <row r="495" spans="1:25" ht="12.75" hidden="1" customHeight="1">
      <c r="A495" s="48"/>
      <c r="Y495" s="48"/>
    </row>
    <row r="496" spans="1:25" ht="12.75" hidden="1" customHeight="1">
      <c r="A496" s="48">
        <v>484</v>
      </c>
      <c r="Y496" s="48">
        <v>484</v>
      </c>
    </row>
    <row r="497" spans="1:25" ht="12.75" hidden="1" customHeight="1">
      <c r="A497" s="48"/>
      <c r="Y497" s="48"/>
    </row>
    <row r="498" spans="1:25" ht="12.75" hidden="1" customHeight="1">
      <c r="A498" s="48">
        <v>486</v>
      </c>
      <c r="Y498" s="48">
        <v>486</v>
      </c>
    </row>
    <row r="499" spans="1:25" ht="12.75" hidden="1" customHeight="1"/>
    <row r="500" spans="1:25" ht="12.75" hidden="1" customHeight="1">
      <c r="A500" s="48">
        <v>488</v>
      </c>
      <c r="Y500" s="48">
        <v>488</v>
      </c>
    </row>
    <row r="501" spans="1:25" ht="12.75" hidden="1" customHeight="1">
      <c r="A501" s="48"/>
      <c r="Y501" s="48"/>
    </row>
    <row r="502" spans="1:25" ht="12.75" hidden="1" customHeight="1">
      <c r="A502" s="48">
        <v>490</v>
      </c>
      <c r="Y502" s="48">
        <v>490</v>
      </c>
    </row>
    <row r="503" spans="1:25" ht="12.75" hidden="1" customHeight="1"/>
    <row r="504" spans="1:25" ht="12.75" hidden="1" customHeight="1">
      <c r="A504" s="48">
        <v>492</v>
      </c>
      <c r="Y504" s="48">
        <v>492</v>
      </c>
    </row>
    <row r="505" spans="1:25" ht="12.75" hidden="1" customHeight="1">
      <c r="A505" s="48"/>
      <c r="Y505" s="48"/>
    </row>
    <row r="506" spans="1:25" ht="12.75" hidden="1" customHeight="1">
      <c r="A506" s="48">
        <v>494</v>
      </c>
      <c r="Y506" s="48">
        <v>494</v>
      </c>
    </row>
    <row r="507" spans="1:25" ht="12.75" hidden="1" customHeight="1">
      <c r="A507" s="48"/>
      <c r="Y507" s="48"/>
    </row>
    <row r="508" spans="1:25" ht="12.75" hidden="1" customHeight="1">
      <c r="A508" s="48">
        <v>496</v>
      </c>
      <c r="Y508" s="48">
        <v>496</v>
      </c>
    </row>
    <row r="509" spans="1:25" ht="12.75" hidden="1" customHeight="1"/>
    <row r="510" spans="1:25" ht="12.75" hidden="1" customHeight="1">
      <c r="A510" s="48">
        <v>498</v>
      </c>
      <c r="Y510" s="48">
        <v>498</v>
      </c>
    </row>
    <row r="511" spans="1:25" ht="12.75" hidden="1" customHeight="1">
      <c r="A511" s="48"/>
      <c r="Y511" s="48"/>
    </row>
    <row r="512" spans="1:25" ht="12.75" hidden="1" customHeight="1">
      <c r="A512" s="48">
        <v>500</v>
      </c>
      <c r="Y512" s="48">
        <v>500</v>
      </c>
    </row>
    <row r="513" spans="1:25" ht="12.75" hidden="1" customHeight="1">
      <c r="A513" s="48"/>
      <c r="Y513" s="48"/>
    </row>
    <row r="514" spans="1:25" ht="12.75" hidden="1" customHeight="1">
      <c r="A514" s="48">
        <v>502</v>
      </c>
      <c r="Y514" s="48">
        <v>502</v>
      </c>
    </row>
    <row r="515" spans="1:25" ht="12.75" hidden="1" customHeight="1">
      <c r="A515" s="48"/>
      <c r="Y515" s="48"/>
    </row>
    <row r="516" spans="1:25" ht="12.75" hidden="1" customHeight="1">
      <c r="A516" s="48">
        <v>500</v>
      </c>
      <c r="Y516" s="48">
        <v>500</v>
      </c>
    </row>
    <row r="517" spans="1:25" ht="12.75" hidden="1" customHeight="1">
      <c r="A517" s="48"/>
      <c r="Y517" s="48"/>
    </row>
    <row r="518" spans="1:25" ht="12.75" hidden="1" customHeight="1">
      <c r="A518" s="48">
        <v>502</v>
      </c>
      <c r="Y518" s="48">
        <v>502</v>
      </c>
    </row>
    <row r="519" spans="1:25" ht="12.75" hidden="1" customHeight="1"/>
    <row r="520" spans="1:25" ht="12.75" hidden="1" customHeight="1">
      <c r="A520" s="48">
        <v>504</v>
      </c>
      <c r="Y520" s="48">
        <v>504</v>
      </c>
    </row>
    <row r="521" spans="1:25" ht="12.75" hidden="1" customHeight="1">
      <c r="A521" s="48"/>
      <c r="Y521" s="48"/>
    </row>
    <row r="522" spans="1:25" ht="12.75" hidden="1" customHeight="1">
      <c r="A522" s="48">
        <v>506</v>
      </c>
      <c r="Y522" s="48">
        <v>506</v>
      </c>
    </row>
    <row r="523" spans="1:25" ht="12.75" hidden="1" customHeight="1">
      <c r="A523" s="48"/>
      <c r="Y523" s="48"/>
    </row>
    <row r="524" spans="1:25" ht="12.75" hidden="1" customHeight="1">
      <c r="A524" s="48">
        <v>508</v>
      </c>
      <c r="Y524" s="48">
        <v>508</v>
      </c>
    </row>
    <row r="525" spans="1:25" ht="12.75" hidden="1" customHeight="1"/>
    <row r="526" spans="1:25" ht="12.75" hidden="1" customHeight="1">
      <c r="A526" s="48">
        <v>510</v>
      </c>
      <c r="Y526" s="48">
        <v>510</v>
      </c>
    </row>
    <row r="527" spans="1:25" ht="12.75" hidden="1" customHeight="1">
      <c r="A527" s="48"/>
      <c r="Y527" s="48"/>
    </row>
    <row r="528" spans="1:25" ht="12.75" hidden="1" customHeight="1">
      <c r="A528" s="48">
        <v>512</v>
      </c>
      <c r="Y528" s="48">
        <v>512</v>
      </c>
    </row>
    <row r="529" spans="1:25" ht="12.75" hidden="1" customHeight="1">
      <c r="A529" s="48"/>
      <c r="Y529" s="48"/>
    </row>
    <row r="530" spans="1:25" ht="12.75" hidden="1" customHeight="1">
      <c r="A530" s="48">
        <v>514</v>
      </c>
      <c r="Y530" s="48">
        <v>514</v>
      </c>
    </row>
    <row r="531" spans="1:25" ht="12.75" hidden="1" customHeight="1">
      <c r="A531" s="48"/>
      <c r="Y531" s="48"/>
    </row>
    <row r="532" spans="1:25" ht="12.75" hidden="1" customHeight="1">
      <c r="A532" s="48">
        <v>516</v>
      </c>
      <c r="Y532" s="48">
        <v>516</v>
      </c>
    </row>
    <row r="533" spans="1:25" ht="0" hidden="1" customHeight="1">
      <c r="A533" s="48"/>
      <c r="Y533" s="48"/>
    </row>
    <row r="534" spans="1:25" ht="0" hidden="1" customHeight="1">
      <c r="A534" s="48">
        <v>518</v>
      </c>
      <c r="Y534" s="48">
        <v>518</v>
      </c>
    </row>
  </sheetData>
  <sortState ref="B63:X70">
    <sortCondition ref="F63:F70"/>
  </sortState>
  <mergeCells count="10">
    <mergeCell ref="A4:B5"/>
    <mergeCell ref="G8:G12"/>
    <mergeCell ref="H8:H12"/>
    <mergeCell ref="R8:R12"/>
    <mergeCell ref="S8:T8"/>
    <mergeCell ref="X8:X12"/>
    <mergeCell ref="U8:U12"/>
    <mergeCell ref="V8:V12"/>
    <mergeCell ref="W8:W12"/>
    <mergeCell ref="D1:M6"/>
  </mergeCells>
  <conditionalFormatting sqref="H459">
    <cfRule type="dataBar" priority="116">
      <dataBar>
        <cfvo type="min"/>
        <cfvo type="max"/>
        <color rgb="FFFF555A"/>
      </dataBar>
    </cfRule>
  </conditionalFormatting>
  <conditionalFormatting sqref="H461:H470">
    <cfRule type="dataBar" priority="115">
      <dataBar>
        <cfvo type="min"/>
        <cfvo type="max"/>
        <color rgb="FFFF555A"/>
      </dataBar>
    </cfRule>
  </conditionalFormatting>
  <conditionalFormatting sqref="H455">
    <cfRule type="dataBar" priority="114">
      <dataBar>
        <cfvo type="min"/>
        <cfvo type="max"/>
        <color rgb="FFFF555A"/>
      </dataBar>
    </cfRule>
  </conditionalFormatting>
  <conditionalFormatting sqref="G459">
    <cfRule type="dataBar" priority="113">
      <dataBar>
        <cfvo type="min"/>
        <cfvo type="max"/>
        <color rgb="FFFF555A"/>
      </dataBar>
    </cfRule>
  </conditionalFormatting>
  <conditionalFormatting sqref="G461:G470">
    <cfRule type="dataBar" priority="112">
      <dataBar>
        <cfvo type="min"/>
        <cfvo type="max"/>
        <color rgb="FFFF555A"/>
      </dataBar>
    </cfRule>
  </conditionalFormatting>
  <conditionalFormatting sqref="G455">
    <cfRule type="dataBar" priority="111">
      <dataBar>
        <cfvo type="min"/>
        <cfvo type="max"/>
        <color rgb="FFFF555A"/>
      </dataBar>
    </cfRule>
  </conditionalFormatting>
  <conditionalFormatting sqref="H461">
    <cfRule type="dataBar" priority="110">
      <dataBar>
        <cfvo type="min"/>
        <cfvo type="max"/>
        <color rgb="FFFF555A"/>
      </dataBar>
    </cfRule>
  </conditionalFormatting>
  <conditionalFormatting sqref="H463:H472">
    <cfRule type="dataBar" priority="109">
      <dataBar>
        <cfvo type="min"/>
        <cfvo type="max"/>
        <color rgb="FFFF555A"/>
      </dataBar>
    </cfRule>
  </conditionalFormatting>
  <conditionalFormatting sqref="H457">
    <cfRule type="dataBar" priority="108">
      <dataBar>
        <cfvo type="min"/>
        <cfvo type="max"/>
        <color rgb="FFFF555A"/>
      </dataBar>
    </cfRule>
  </conditionalFormatting>
  <conditionalFormatting sqref="G461">
    <cfRule type="dataBar" priority="107">
      <dataBar>
        <cfvo type="min"/>
        <cfvo type="max"/>
        <color rgb="FFFF555A"/>
      </dataBar>
    </cfRule>
  </conditionalFormatting>
  <conditionalFormatting sqref="G463:G472">
    <cfRule type="dataBar" priority="106">
      <dataBar>
        <cfvo type="min"/>
        <cfvo type="max"/>
        <color rgb="FFFF555A"/>
      </dataBar>
    </cfRule>
  </conditionalFormatting>
  <conditionalFormatting sqref="G457">
    <cfRule type="dataBar" priority="105">
      <dataBar>
        <cfvo type="min"/>
        <cfvo type="max"/>
        <color rgb="FFFF555A"/>
      </dataBar>
    </cfRule>
  </conditionalFormatting>
  <conditionalFormatting sqref="H460">
    <cfRule type="dataBar" priority="102">
      <dataBar>
        <cfvo type="min"/>
        <cfvo type="max"/>
        <color rgb="FFFF555A"/>
      </dataBar>
    </cfRule>
  </conditionalFormatting>
  <conditionalFormatting sqref="H456">
    <cfRule type="dataBar" priority="101">
      <dataBar>
        <cfvo type="min"/>
        <cfvo type="max"/>
        <color rgb="FFFF555A"/>
      </dataBar>
    </cfRule>
  </conditionalFormatting>
  <conditionalFormatting sqref="G460">
    <cfRule type="dataBar" priority="100">
      <dataBar>
        <cfvo type="min"/>
        <cfvo type="max"/>
        <color rgb="FFFF555A"/>
      </dataBar>
    </cfRule>
  </conditionalFormatting>
  <conditionalFormatting sqref="G456">
    <cfRule type="dataBar" priority="99">
      <dataBar>
        <cfvo type="min"/>
        <cfvo type="max"/>
        <color rgb="FFFF555A"/>
      </dataBar>
    </cfRule>
  </conditionalFormatting>
  <conditionalFormatting sqref="H462">
    <cfRule type="dataBar" priority="98">
      <dataBar>
        <cfvo type="min"/>
        <cfvo type="max"/>
        <color rgb="FFFF555A"/>
      </dataBar>
    </cfRule>
  </conditionalFormatting>
  <conditionalFormatting sqref="H458">
    <cfRule type="dataBar" priority="97">
      <dataBar>
        <cfvo type="min"/>
        <cfvo type="max"/>
        <color rgb="FFFF555A"/>
      </dataBar>
    </cfRule>
  </conditionalFormatting>
  <conditionalFormatting sqref="G462">
    <cfRule type="dataBar" priority="96">
      <dataBar>
        <cfvo type="min"/>
        <cfvo type="max"/>
        <color rgb="FFFF555A"/>
      </dataBar>
    </cfRule>
  </conditionalFormatting>
  <conditionalFormatting sqref="G458">
    <cfRule type="dataBar" priority="95">
      <dataBar>
        <cfvo type="min"/>
        <cfvo type="max"/>
        <color rgb="FFFF555A"/>
      </dataBar>
    </cfRule>
  </conditionalFormatting>
  <conditionalFormatting sqref="H108">
    <cfRule type="dataBar" priority="94">
      <dataBar>
        <cfvo type="min"/>
        <cfvo type="max"/>
        <color rgb="FFFF555A"/>
      </dataBar>
    </cfRule>
  </conditionalFormatting>
  <conditionalFormatting sqref="G108">
    <cfRule type="dataBar" priority="93">
      <dataBar>
        <cfvo type="min"/>
        <cfvo type="max"/>
        <color rgb="FFFF555A"/>
      </dataBar>
    </cfRule>
  </conditionalFormatting>
  <conditionalFormatting sqref="H463">
    <cfRule type="dataBar" priority="92">
      <dataBar>
        <cfvo type="min"/>
        <cfvo type="max"/>
        <color rgb="FFFF555A"/>
      </dataBar>
    </cfRule>
  </conditionalFormatting>
  <conditionalFormatting sqref="G463">
    <cfRule type="dataBar" priority="91">
      <dataBar>
        <cfvo type="min"/>
        <cfvo type="max"/>
        <color rgb="FFFF555A"/>
      </dataBar>
    </cfRule>
  </conditionalFormatting>
  <conditionalFormatting sqref="H464">
    <cfRule type="dataBar" priority="90">
      <dataBar>
        <cfvo type="min"/>
        <cfvo type="max"/>
        <color rgb="FFFF555A"/>
      </dataBar>
    </cfRule>
  </conditionalFormatting>
  <conditionalFormatting sqref="G464">
    <cfRule type="dataBar" priority="89">
      <dataBar>
        <cfvo type="min"/>
        <cfvo type="max"/>
        <color rgb="FFFF555A"/>
      </dataBar>
    </cfRule>
  </conditionalFormatting>
  <conditionalFormatting sqref="H465">
    <cfRule type="dataBar" priority="88">
      <dataBar>
        <cfvo type="min"/>
        <cfvo type="max"/>
        <color rgb="FFFF555A"/>
      </dataBar>
    </cfRule>
  </conditionalFormatting>
  <conditionalFormatting sqref="G465">
    <cfRule type="dataBar" priority="87">
      <dataBar>
        <cfvo type="min"/>
        <cfvo type="max"/>
        <color rgb="FFFF555A"/>
      </dataBar>
    </cfRule>
  </conditionalFormatting>
  <conditionalFormatting sqref="H466">
    <cfRule type="dataBar" priority="86">
      <dataBar>
        <cfvo type="min"/>
        <cfvo type="max"/>
        <color rgb="FFFF555A"/>
      </dataBar>
    </cfRule>
  </conditionalFormatting>
  <conditionalFormatting sqref="G466">
    <cfRule type="dataBar" priority="85">
      <dataBar>
        <cfvo type="min"/>
        <cfvo type="max"/>
        <color rgb="FFFF555A"/>
      </dataBar>
    </cfRule>
  </conditionalFormatting>
  <conditionalFormatting sqref="H467">
    <cfRule type="dataBar" priority="84">
      <dataBar>
        <cfvo type="min"/>
        <cfvo type="max"/>
        <color rgb="FFFF555A"/>
      </dataBar>
    </cfRule>
  </conditionalFormatting>
  <conditionalFormatting sqref="G467">
    <cfRule type="dataBar" priority="83">
      <dataBar>
        <cfvo type="min"/>
        <cfvo type="max"/>
        <color rgb="FFFF555A"/>
      </dataBar>
    </cfRule>
  </conditionalFormatting>
  <conditionalFormatting sqref="H468">
    <cfRule type="dataBar" priority="82">
      <dataBar>
        <cfvo type="min"/>
        <cfvo type="max"/>
        <color rgb="FFFF555A"/>
      </dataBar>
    </cfRule>
  </conditionalFormatting>
  <conditionalFormatting sqref="G468">
    <cfRule type="dataBar" priority="81">
      <dataBar>
        <cfvo type="min"/>
        <cfvo type="max"/>
        <color rgb="FFFF555A"/>
      </dataBar>
    </cfRule>
  </conditionalFormatting>
  <conditionalFormatting sqref="F449:F454">
    <cfRule type="dataBar" priority="63">
      <dataBar>
        <cfvo type="min"/>
        <cfvo type="max"/>
        <color rgb="FF008AEF"/>
      </dataBar>
    </cfRule>
  </conditionalFormatting>
  <conditionalFormatting sqref="H454">
    <cfRule type="dataBar" priority="43">
      <dataBar>
        <cfvo type="min"/>
        <cfvo type="max"/>
        <color rgb="FFFF555A"/>
      </dataBar>
    </cfRule>
  </conditionalFormatting>
  <conditionalFormatting sqref="G454">
    <cfRule type="dataBar" priority="42">
      <dataBar>
        <cfvo type="min"/>
        <cfvo type="max"/>
        <color rgb="FFFF555A"/>
      </dataBar>
    </cfRule>
  </conditionalFormatting>
  <conditionalFormatting sqref="H107">
    <cfRule type="dataBar" priority="41">
      <dataBar>
        <cfvo type="min"/>
        <cfvo type="max"/>
        <color rgb="FFFF555A"/>
      </dataBar>
    </cfRule>
  </conditionalFormatting>
  <conditionalFormatting sqref="G107">
    <cfRule type="dataBar" priority="40">
      <dataBar>
        <cfvo type="min"/>
        <cfvo type="max"/>
        <color rgb="FFFF555A"/>
      </dataBar>
    </cfRule>
  </conditionalFormatting>
  <conditionalFormatting sqref="H105:H107">
    <cfRule type="dataBar" priority="7714">
      <dataBar>
        <cfvo type="min"/>
        <cfvo type="max"/>
        <color rgb="FFFF555A"/>
      </dataBar>
    </cfRule>
  </conditionalFormatting>
  <conditionalFormatting sqref="G105:G107">
    <cfRule type="dataBar" priority="7716">
      <dataBar>
        <cfvo type="min"/>
        <cfvo type="max"/>
        <color rgb="FFFF555A"/>
      </dataBar>
    </cfRule>
  </conditionalFormatting>
  <conditionalFormatting sqref="G462:H472 G15:H454">
    <cfRule type="cellIs" dxfId="180" priority="8294" operator="equal">
      <formula>MIN(G$16:G$445)</formula>
    </cfRule>
    <cfRule type="dataBar" priority="8295">
      <dataBar>
        <cfvo type="min"/>
        <cfvo type="max"/>
        <color rgb="FFFF555A"/>
      </dataBar>
    </cfRule>
  </conditionalFormatting>
  <conditionalFormatting sqref="G14">
    <cfRule type="cellIs" dxfId="179" priority="8302" operator="equal">
      <formula>MIN(G$16:G$445)</formula>
    </cfRule>
    <cfRule type="dataBar" priority="8303">
      <dataBar>
        <cfvo type="min"/>
        <cfvo type="max"/>
        <color rgb="FFFF555A"/>
      </dataBar>
    </cfRule>
  </conditionalFormatting>
  <conditionalFormatting sqref="G13">
    <cfRule type="cellIs" dxfId="178" priority="8304" operator="equal">
      <formula>MIN(G$16:G$445)</formula>
    </cfRule>
    <cfRule type="dataBar" priority="8305">
      <dataBar>
        <cfvo type="min"/>
        <cfvo type="max"/>
        <color rgb="FFFF555A"/>
      </dataBar>
    </cfRule>
  </conditionalFormatting>
  <conditionalFormatting sqref="G13:G448">
    <cfRule type="dataBar" priority="8306">
      <dataBar>
        <cfvo type="min"/>
        <cfvo type="max"/>
        <color rgb="FFFF555A"/>
      </dataBar>
    </cfRule>
  </conditionalFormatting>
  <conditionalFormatting sqref="X13:X474">
    <cfRule type="dataBar" priority="83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{2B2B45B4-B7E0-49D9-A0B1-4780D4043E9A}</x14:id>
        </ext>
      </extLst>
    </cfRule>
  </conditionalFormatting>
  <conditionalFormatting sqref="K13:K437">
    <cfRule type="cellIs" dxfId="177" priority="8312" operator="lessThan">
      <formula>MIN(K$13:K$437)*1.1</formula>
    </cfRule>
    <cfRule type="cellIs" dxfId="176" priority="8313" operator="equal">
      <formula>MIN(K$13:K$437)</formula>
    </cfRule>
    <cfRule type="colorScale" priority="8314">
      <colorScale>
        <cfvo type="min"/>
        <cfvo type="percentile" val="50"/>
        <cfvo type="max"/>
        <color rgb="FFFFFF99"/>
        <color rgb="FFFAC498"/>
        <color rgb="FF99CCFF"/>
      </colorScale>
    </cfRule>
  </conditionalFormatting>
  <conditionalFormatting sqref="M13:M437">
    <cfRule type="cellIs" dxfId="175" priority="8318" operator="lessThan">
      <formula>MIN(M$13:M$452)*1.1</formula>
    </cfRule>
    <cfRule type="cellIs" dxfId="174" priority="8319" operator="equal">
      <formula>MIN(M$13:M$452)</formula>
    </cfRule>
    <cfRule type="colorScale" priority="8320">
      <colorScale>
        <cfvo type="min"/>
        <cfvo type="percentile" val="50"/>
        <cfvo type="max"/>
        <color rgb="FFFFFF99"/>
        <color rgb="FFFAC498"/>
        <color rgb="FF99CCFF"/>
      </colorScale>
    </cfRule>
  </conditionalFormatting>
  <conditionalFormatting sqref="O13:O437">
    <cfRule type="cellIs" dxfId="173" priority="8324" operator="lessThan">
      <formula>MIN(O$13:O$454)*1.1</formula>
    </cfRule>
    <cfRule type="cellIs" dxfId="172" priority="8325" operator="equal">
      <formula>MIN(O$13:O$454)</formula>
    </cfRule>
    <cfRule type="colorScale" priority="8326">
      <colorScale>
        <cfvo type="min"/>
        <cfvo type="percentile" val="50"/>
        <cfvo type="max"/>
        <color rgb="FFFFFF99"/>
        <color rgb="FFFAC498"/>
        <color rgb="FF99CCFF"/>
      </colorScale>
    </cfRule>
  </conditionalFormatting>
  <conditionalFormatting sqref="P13:P437">
    <cfRule type="cellIs" dxfId="171" priority="8330" operator="lessThan">
      <formula>MIN(P$13:P$452)*1.1</formula>
    </cfRule>
    <cfRule type="cellIs" dxfId="170" priority="8331" operator="equal">
      <formula>MIN(P$13:P$452)</formula>
    </cfRule>
    <cfRule type="colorScale" priority="8332">
      <colorScale>
        <cfvo type="min"/>
        <cfvo type="percentile" val="50"/>
        <cfvo type="max"/>
        <color rgb="FFFFFF99"/>
        <color rgb="FFFAC498"/>
        <color rgb="FF99CCFF"/>
      </colorScale>
    </cfRule>
  </conditionalFormatting>
  <conditionalFormatting sqref="I13:I437">
    <cfRule type="cellIs" dxfId="169" priority="8369" operator="lessThan">
      <formula>MIN(I$13:I437)*1.1</formula>
    </cfRule>
    <cfRule type="cellIs" dxfId="168" priority="8370" operator="equal">
      <formula>MIN(I$13:I$437)</formula>
    </cfRule>
    <cfRule type="colorScale" priority="8371">
      <colorScale>
        <cfvo type="min"/>
        <cfvo type="percentile" val="50"/>
        <cfvo type="max"/>
        <color rgb="FFFFFF99"/>
        <color rgb="FFF8AB6C"/>
        <color rgb="FF99CCFF"/>
      </colorScale>
    </cfRule>
  </conditionalFormatting>
  <conditionalFormatting sqref="J13:J437">
    <cfRule type="cellIs" dxfId="167" priority="8405" operator="equal">
      <formula>MIN(J$13:J$437)</formula>
    </cfRule>
    <cfRule type="colorScale" priority="8406">
      <colorScale>
        <cfvo type="min"/>
        <cfvo type="percentile" val="50"/>
        <cfvo type="max"/>
        <color rgb="FFFFFF99"/>
        <color rgb="FFFAC498"/>
        <color rgb="FF99CCFF"/>
      </colorScale>
    </cfRule>
    <cfRule type="cellIs" dxfId="166" priority="8407" operator="lessThan">
      <formula>MIN(J$13:J437)*1.1</formula>
    </cfRule>
  </conditionalFormatting>
  <conditionalFormatting sqref="L13:L437">
    <cfRule type="cellIs" dxfId="165" priority="8441" operator="lessThan">
      <formula>MIN(L$13:L437)*1.1</formula>
    </cfRule>
    <cfRule type="cellIs" dxfId="164" priority="8442" operator="equal">
      <formula>MIN(L$13:L$437)</formula>
    </cfRule>
    <cfRule type="colorScale" priority="8443">
      <colorScale>
        <cfvo type="min"/>
        <cfvo type="percentile" val="50"/>
        <cfvo type="max"/>
        <color rgb="FFFFFF99"/>
        <color rgb="FFF8AB6C"/>
        <color rgb="FF99CCFF"/>
      </colorScale>
    </cfRule>
  </conditionalFormatting>
  <conditionalFormatting sqref="N13:N437">
    <cfRule type="cellIs" dxfId="163" priority="8477" operator="lessThan">
      <formula>MIN(N$13:N437)*1.1</formula>
    </cfRule>
    <cfRule type="cellIs" dxfId="162" priority="8478" operator="equal">
      <formula>MIN(N$13:N$437)</formula>
    </cfRule>
    <cfRule type="colorScale" priority="8479">
      <colorScale>
        <cfvo type="min"/>
        <cfvo type="percentile" val="50"/>
        <cfvo type="max"/>
        <color rgb="FFFFFF99"/>
        <color rgb="FFF8AB6C"/>
        <color rgb="FF99CCFF"/>
      </colorScale>
    </cfRule>
  </conditionalFormatting>
  <conditionalFormatting sqref="Q13:Q437">
    <cfRule type="cellIs" dxfId="161" priority="8513" operator="equal">
      <formula>MIN(Q$13:Q$437)</formula>
    </cfRule>
    <cfRule type="colorScale" priority="8514">
      <colorScale>
        <cfvo type="min"/>
        <cfvo type="percentile" val="50"/>
        <cfvo type="max"/>
        <color rgb="FFFFFF99"/>
        <color rgb="FFF8AB6C"/>
        <color rgb="FF99CCFF"/>
      </colorScale>
    </cfRule>
    <cfRule type="cellIs" dxfId="160" priority="8515" operator="lessThan">
      <formula>MIN(Q$13:Q437)*1.1</formula>
    </cfRule>
  </conditionalFormatting>
  <conditionalFormatting sqref="F13:F43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{B9A7233C-5BEF-4AFF-8652-78CC10763701}</x14:id>
        </ext>
      </extLst>
    </cfRule>
  </conditionalFormatting>
  <hyperlinks>
    <hyperlink ref="C7" r:id="rId1"/>
    <hyperlink ref="C207" r:id="rId2" display="iROLZ Andrew Polar"/>
    <hyperlink ref="C30" r:id="rId3" display="NanoZip 0.09 ('11) Sami Runsas -cO -p6:2GB"/>
    <hyperlink ref="C50" r:id="rId4" display="NanoZip 0.09 ('11) Sami Runsas -co -p6:2GB"/>
    <hyperlink ref="C28" r:id="rId5" display="NanoZip 0.08 ('10) Sami Runsas OPT2:2GB"/>
    <hyperlink ref="C13" r:id="rId6" display="NanoZip 0.08 ('10) Sami Runsas CM:2GB"/>
    <hyperlink ref="C44" r:id="rId7" display="NanoZip 0.08 ('10) Sami Runsas OPT1:2GB"/>
    <hyperlink ref="C149" r:id="rId8" display="NanoZip 0.09 ('11) Sami Runsas -cDP -p6:2GB"/>
    <hyperlink ref="C150" r:id="rId9" display="NanoZip 0.08 ('10) Sami Runsas LZHDS:2GB"/>
    <hyperlink ref="C14" r:id="rId10" display="NanoZip 0.09 ('11) Sami Runsas -cO -p6:2GB"/>
    <hyperlink ref="C21" r:id="rId11" display="STUFFIT 14.0.1.27 (sitx) all filters"/>
    <hyperlink ref="C24" r:id="rId12" display="FreeARC 0.67 ultra +srep+precomp+lzma1gb+dispack Bulat Ziganshin"/>
    <hyperlink ref="C32" r:id="rId13" display="ZCM 0.04 c7 (2012) N.F. Antonio"/>
    <hyperlink ref="C192" r:id="rId14" display="WinZip 16.0.9715 (2012) PPMd (Corel)"/>
    <hyperlink ref="C244" r:id="rId15" display="WinZip 16.0.9715 (2012) bzip2"/>
    <hyperlink ref="C303" r:id="rId16" display="WinZip 16.0.9715 (2012) enhanced deflate"/>
    <hyperlink ref="C310" r:id="rId17" display="WinZip 16.0.9715 (2011) legacy 2.0 deflate"/>
    <hyperlink ref="C53" r:id="rId18" display="7-ZIP 9.2.5 LZMA2 ultra128:fb=273:mf=bt4:lc4"/>
    <hyperlink ref="C42" r:id="rId19"/>
    <hyperlink ref="C92" r:id="rId20"/>
    <hyperlink ref="C153" r:id="rId21" display="WinZip 12.0.8252 (optimize best) 2008"/>
    <hyperlink ref="C79" r:id="rId22" display="LZHAM α7r1 -m4 -d29 -t11 -e -x R. Geldreich, Jr."/>
    <hyperlink ref="C80" r:id="rId23"/>
    <hyperlink ref="C144" r:id="rId24" display="WinRar 3.93 solid 4MB auto filter E. Roshal"/>
    <hyperlink ref="C94" r:id="rId25" display="WinRar 4.11 solid 4MB auto filter E. Roshal"/>
    <hyperlink ref="C131" r:id="rId26" display="WinAce 2.5 - 2.65 Final max solid + filters"/>
    <hyperlink ref="C215" r:id="rId27" display="BZIP2 1.05 (2008) --best Julian Seward"/>
    <hyperlink ref="C211" r:id="rId28"/>
    <hyperlink ref="C197" r:id="rId29"/>
    <hyperlink ref="C272" r:id="rId30" display="Deflate, word size=64, max (7z 4.65)"/>
    <hyperlink ref="C264" r:id="rId31"/>
    <hyperlink ref="C281" r:id="rId32"/>
    <hyperlink ref="C355" r:id="rId33"/>
    <hyperlink ref="I8" r:id="rId34"/>
    <hyperlink ref="O8" r:id="rId35" display="PGM/PPM"/>
    <hyperlink ref="P8" r:id="rId36"/>
    <hyperlink ref="K8" r:id="rId37" display="D.N.A."/>
    <hyperlink ref="Q8" r:id="rId38"/>
    <hyperlink ref="N8" r:id="rId39"/>
    <hyperlink ref="L8" r:id="rId40"/>
    <hyperlink ref="J8" r:id="rId41"/>
    <hyperlink ref="C313" r:id="rId42" display="ARJ 2.x - 3.x  -m1"/>
    <hyperlink ref="C274" r:id="rId43"/>
    <hyperlink ref="C84" r:id="rId44" display="SBC 0.970r3  -m3 -b63 -os Sami Makinen"/>
    <hyperlink ref="C22" r:id="rId45"/>
    <hyperlink ref="C40" r:id="rId46"/>
    <hyperlink ref="C75" r:id="rId47"/>
    <hyperlink ref="C104" r:id="rId48"/>
    <hyperlink ref="M8" r:id="rId49"/>
    <hyperlink ref="C260" r:id="rId50" display="UC II r3 Pro ('95) s-tight Nico De Vries"/>
    <hyperlink ref="C208" r:id="rId51"/>
    <hyperlink ref="C428" r:id="rId52"/>
    <hyperlink ref="C407" r:id="rId53"/>
    <hyperlink ref="C393" r:id="rId54"/>
    <hyperlink ref="C379" r:id="rId55"/>
    <hyperlink ref="W4" r:id="rId56"/>
    <hyperlink ref="W5" r:id="rId57"/>
    <hyperlink ref="C39" r:id="rId58" display="7-ZIP 9.2.5 + m7zRepacker 1.0.32.301"/>
    <hyperlink ref="C45" r:id="rId59" display="7-ZIP 9.2.5 + Ultra7z 0.12 A. Dubrovsky"/>
    <hyperlink ref="C54" r:id="rId60" display="UHARC 0.6b -mx/3 -mm+ -md+ 32 MB"/>
    <hyperlink ref="C26" r:id="rId61"/>
    <hyperlink ref="C462" r:id="rId62"/>
    <hyperlink ref="C463" r:id="rId63" display="PPMZ 0.81 (2004) Charles Bloom"/>
    <hyperlink ref="C162" r:id="rId64" display="SZIP 1.11 -b41 -o10 Michael Schindler"/>
    <hyperlink ref="C169" r:id="rId65" display="SZIP 1.11 -b41 -o10 Michael Schindler"/>
    <hyperlink ref="C147" r:id="rId66" display="WinZip 16.5.10095 (ZIPX) 2012"/>
    <hyperlink ref="C435" r:id="rId67" display="B1 Free Archiver 0.40"/>
    <hyperlink ref="C434" r:id="rId68" display="7-ZIP 9.2.5 + Ultra7z 0.12 A. Dubrovsky"/>
    <hyperlink ref="C20" r:id="rId69" display="ZCM 0.30 -m7 -r -s (2012) N.F. Antonio"/>
    <hyperlink ref="C98" r:id="rId70" display="WinRar 4.20β solid 4MB auto filter E. Roshal"/>
    <hyperlink ref="C455" r:id="rId71"/>
    <hyperlink ref="C15" r:id="rId72" display="STUFFIT 14.0.1.27 (sitx) all filters"/>
    <hyperlink ref="C76" r:id="rId73"/>
    <hyperlink ref="C25" r:id="rId74"/>
    <hyperlink ref="C95" r:id="rId75"/>
    <hyperlink ref="C399" r:id="rId76" display="LZF 3.6vf (2011) Marc Lehmann"/>
    <hyperlink ref="C143" r:id="rId77" display="WinRar 3.93 solid 4MB auto filter E. Roshal"/>
    <hyperlink ref="C432" r:id="rId78"/>
    <hyperlink ref="C429" r:id="rId79"/>
    <hyperlink ref="C430" r:id="rId80"/>
    <hyperlink ref="C433" r:id="rId81" display="RLC Runlength Comp. B.K.Singh"/>
    <hyperlink ref="C424" r:id="rId82"/>
    <hyperlink ref="C397" r:id="rId83"/>
    <hyperlink ref="C422" r:id="rId84"/>
    <hyperlink ref="C408" r:id="rId85"/>
    <hyperlink ref="C415" r:id="rId86"/>
    <hyperlink ref="C417" r:id="rId87"/>
    <hyperlink ref="C416" r:id="rId88"/>
    <hyperlink ref="C414" r:id="rId89"/>
    <hyperlink ref="C400" r:id="rId90"/>
    <hyperlink ref="C403" r:id="rId91"/>
    <hyperlink ref="C413" r:id="rId92"/>
    <hyperlink ref="C404" r:id="rId93"/>
    <hyperlink ref="C412" r:id="rId94"/>
    <hyperlink ref="C396" r:id="rId95"/>
    <hyperlink ref="C395" r:id="rId96"/>
    <hyperlink ref="C394" r:id="rId97"/>
    <hyperlink ref="C411" r:id="rId98" display="FPAQ 0pv5 ('08) M. Mahoney &amp; N.F.Antonio"/>
    <hyperlink ref="C392" r:id="rId99"/>
    <hyperlink ref="C388" r:id="rId100" display="Microsoft Compress (1992)"/>
    <hyperlink ref="C387" r:id="rId101"/>
    <hyperlink ref="C406" r:id="rId102"/>
    <hyperlink ref="C381" r:id="rId103"/>
    <hyperlink ref="C350" r:id="rId104"/>
    <hyperlink ref="C231" r:id="rId105"/>
    <hyperlink ref="C398" r:id="rId106"/>
    <hyperlink ref="C384" r:id="rId107"/>
    <hyperlink ref="C391" r:id="rId108"/>
    <hyperlink ref="C401" r:id="rId109"/>
    <hyperlink ref="C358" r:id="rId110"/>
    <hyperlink ref="R4" r:id="rId111"/>
    <hyperlink ref="C372" r:id="rId112"/>
    <hyperlink ref="C108" r:id="rId113"/>
    <hyperlink ref="C125" r:id="rId114"/>
    <hyperlink ref="C203" r:id="rId115"/>
    <hyperlink ref="C377" r:id="rId116"/>
    <hyperlink ref="C369" r:id="rId117"/>
    <hyperlink ref="C368" r:id="rId118"/>
    <hyperlink ref="C367" r:id="rId119"/>
    <hyperlink ref="C380" r:id="rId120"/>
    <hyperlink ref="C360" r:id="rId121"/>
    <hyperlink ref="C374" r:id="rId122"/>
    <hyperlink ref="C383" r:id="rId123"/>
    <hyperlink ref="C375" r:id="rId124"/>
    <hyperlink ref="C373" r:id="rId125"/>
    <hyperlink ref="C365" r:id="rId126"/>
    <hyperlink ref="C376" r:id="rId127"/>
    <hyperlink ref="C332" r:id="rId128"/>
    <hyperlink ref="C371" r:id="rId129"/>
    <hyperlink ref="C364" r:id="rId130"/>
    <hyperlink ref="C327" r:id="rId131"/>
    <hyperlink ref="C359" r:id="rId132"/>
    <hyperlink ref="C351" r:id="rId133"/>
    <hyperlink ref="C326" r:id="rId134"/>
    <hyperlink ref="C344" r:id="rId135"/>
    <hyperlink ref="C346" r:id="rId136"/>
    <hyperlink ref="C357" r:id="rId137"/>
    <hyperlink ref="C341" r:id="rId138"/>
    <hyperlink ref="C338" r:id="rId139"/>
    <hyperlink ref="C347" r:id="rId140"/>
    <hyperlink ref="C348" r:id="rId141"/>
    <hyperlink ref="C343" r:id="rId142"/>
    <hyperlink ref="C340" r:id="rId143"/>
    <hyperlink ref="C342" r:id="rId144"/>
    <hyperlink ref="C331" r:id="rId145"/>
    <hyperlink ref="C329" r:id="rId146"/>
    <hyperlink ref="C322" r:id="rId147"/>
    <hyperlink ref="C317" r:id="rId148"/>
    <hyperlink ref="C323" r:id="rId149"/>
    <hyperlink ref="C318" r:id="rId150"/>
    <hyperlink ref="C320" r:id="rId151"/>
    <hyperlink ref="C319" r:id="rId152"/>
    <hyperlink ref="C324" r:id="rId153"/>
    <hyperlink ref="C315" r:id="rId154" display="Safe Melt 32 2.74 (2002) Team Schaft"/>
    <hyperlink ref="C305" r:id="rId155"/>
    <hyperlink ref="C294" r:id="rId156"/>
    <hyperlink ref="C293" r:id="rId157"/>
    <hyperlink ref="C312" r:id="rId158"/>
    <hyperlink ref="C314" r:id="rId159"/>
    <hyperlink ref="C311" r:id="rId160"/>
    <hyperlink ref="C295" r:id="rId161"/>
    <hyperlink ref="C308" r:id="rId162" display="PeaZip 3.3 .PEA better ('10) Giorgio Tani"/>
    <hyperlink ref="C289" r:id="rId163"/>
    <hyperlink ref="C307" r:id="rId164"/>
    <hyperlink ref="C297" r:id="rId165"/>
    <hyperlink ref="C288" r:id="rId166"/>
    <hyperlink ref="C298" r:id="rId167"/>
    <hyperlink ref="C302" r:id="rId168"/>
    <hyperlink ref="C301" r:id="rId169"/>
    <hyperlink ref="C291" r:id="rId170"/>
    <hyperlink ref="C286" r:id="rId171"/>
    <hyperlink ref="C287" r:id="rId172"/>
    <hyperlink ref="C285" r:id="rId173"/>
    <hyperlink ref="C284" r:id="rId174"/>
    <hyperlink ref="C283" r:id="rId175"/>
    <hyperlink ref="C300" r:id="rId176"/>
    <hyperlink ref="C273" r:id="rId177"/>
    <hyperlink ref="C265" r:id="rId178"/>
    <hyperlink ref="C282" r:id="rId179"/>
    <hyperlink ref="C328" r:id="rId180"/>
    <hyperlink ref="C333" r:id="rId181"/>
    <hyperlink ref="C277" r:id="rId182"/>
    <hyperlink ref="C292" r:id="rId183"/>
    <hyperlink ref="C268" r:id="rId184"/>
    <hyperlink ref="C267" r:id="rId185"/>
    <hyperlink ref="C261" r:id="rId186"/>
    <hyperlink ref="C262" r:id="rId187"/>
    <hyperlink ref="C258" r:id="rId188"/>
    <hyperlink ref="C279" r:id="rId189"/>
    <hyperlink ref="C304" r:id="rId190"/>
    <hyperlink ref="C205" r:id="rId191"/>
    <hyperlink ref="C254" r:id="rId192"/>
    <hyperlink ref="C269" r:id="rId193"/>
    <hyperlink ref="C227" r:id="rId194"/>
    <hyperlink ref="C213" r:id="rId195"/>
    <hyperlink ref="C222" r:id="rId196"/>
    <hyperlink ref="C64" r:id="rId197" display="FLASHZIP 0.99c2 (2011) -r -s -m3 -c7 -b8"/>
    <hyperlink ref="C112" r:id="rId198"/>
    <hyperlink ref="C135" r:id="rId199"/>
    <hyperlink ref="C156" r:id="rId200"/>
    <hyperlink ref="C138" r:id="rId201"/>
    <hyperlink ref="C296" r:id="rId202"/>
    <hyperlink ref="C255" r:id="rId203"/>
    <hyperlink ref="C212" r:id="rId204"/>
    <hyperlink ref="C253" r:id="rId205"/>
    <hyperlink ref="C256" r:id="rId206"/>
    <hyperlink ref="C236" r:id="rId207"/>
    <hyperlink ref="C259" r:id="rId208"/>
    <hyperlink ref="C252" r:id="rId209"/>
    <hyperlink ref="C136" r:id="rId210" display="COMPROX_SA (09.2011) Zhang Li"/>
    <hyperlink ref="C195" r:id="rId211"/>
    <hyperlink ref="C202" r:id="rId212"/>
    <hyperlink ref="C251" r:id="rId213"/>
    <hyperlink ref="C242" r:id="rId214"/>
    <hyperlink ref="C248" r:id="rId215"/>
    <hyperlink ref="C249" r:id="rId216"/>
    <hyperlink ref="C246" r:id="rId217"/>
    <hyperlink ref="C182" r:id="rId218"/>
    <hyperlink ref="C225" r:id="rId219"/>
    <hyperlink ref="C209" r:id="rId220"/>
    <hyperlink ref="C238" r:id="rId221"/>
    <hyperlink ref="C239" r:id="rId222"/>
    <hyperlink ref="C232" r:id="rId223" display="WinHKI 1.3 - 1.73 (04-06) HKI1 H.P. Imp"/>
    <hyperlink ref="C206" r:id="rId224"/>
    <hyperlink ref="C234" r:id="rId225"/>
    <hyperlink ref="C201" r:id="rId226"/>
    <hyperlink ref="C193" r:id="rId227"/>
    <hyperlink ref="C216" r:id="rId228"/>
    <hyperlink ref="C217" r:id="rId229"/>
    <hyperlink ref="C218" r:id="rId230"/>
    <hyperlink ref="C219" r:id="rId231"/>
    <hyperlink ref="C220" r:id="rId232"/>
    <hyperlink ref="C174" r:id="rId233"/>
    <hyperlink ref="C214" r:id="rId234"/>
    <hyperlink ref="C179" r:id="rId235"/>
    <hyperlink ref="C200" r:id="rId236"/>
    <hyperlink ref="C210" r:id="rId237"/>
    <hyperlink ref="C198" r:id="rId238"/>
    <hyperlink ref="C176" r:id="rId239"/>
    <hyperlink ref="C325" r:id="rId240"/>
    <hyperlink ref="C154" r:id="rId241"/>
    <hyperlink ref="C204" r:id="rId242"/>
    <hyperlink ref="C167" r:id="rId243"/>
    <hyperlink ref="C155" r:id="rId244"/>
    <hyperlink ref="C161" r:id="rId245"/>
    <hyperlink ref="C184" r:id="rId246"/>
    <hyperlink ref="C160" r:id="rId247"/>
    <hyperlink ref="C137" r:id="rId248"/>
    <hyperlink ref="C68" r:id="rId249"/>
    <hyperlink ref="C159" r:id="rId250"/>
    <hyperlink ref="C34" r:id="rId251"/>
    <hyperlink ref="C35" r:id="rId252"/>
    <hyperlink ref="C49" r:id="rId253"/>
    <hyperlink ref="C142" r:id="rId254"/>
    <hyperlink ref="C235" r:id="rId255"/>
    <hyperlink ref="C178" r:id="rId256"/>
    <hyperlink ref="C181" r:id="rId257"/>
    <hyperlink ref="C130" r:id="rId258" display="WinArchiver 2.1 .MZP best (2010)"/>
    <hyperlink ref="C166" r:id="rId259"/>
    <hyperlink ref="C145" r:id="rId260"/>
    <hyperlink ref="C120" r:id="rId261"/>
    <hyperlink ref="C99" r:id="rId262"/>
    <hyperlink ref="C106" r:id="rId263"/>
    <hyperlink ref="C170" r:id="rId264"/>
    <hyperlink ref="C173" r:id="rId265"/>
    <hyperlink ref="C127" r:id="rId266"/>
    <hyperlink ref="C191" r:id="rId267"/>
    <hyperlink ref="C121" r:id="rId268"/>
    <hyperlink ref="C27" r:id="rId269"/>
    <hyperlink ref="C33" r:id="rId270" display="WinRK 3.1.2 (Best Asymmetric) 650 MB"/>
    <hyperlink ref="C38" r:id="rId271"/>
    <hyperlink ref="C109" r:id="rId272"/>
    <hyperlink ref="C128" r:id="rId273"/>
    <hyperlink ref="C126" r:id="rId274"/>
    <hyperlink ref="C183" r:id="rId275"/>
    <hyperlink ref="C370" r:id="rId276"/>
    <hyperlink ref="C119" r:id="rId277" display="Distance Coder 0.98β -b16383el Edgar Binder"/>
    <hyperlink ref="C82" r:id="rId278"/>
    <hyperlink ref="C81" r:id="rId279"/>
    <hyperlink ref="C107" r:id="rId280"/>
    <hyperlink ref="C113" r:id="rId281"/>
    <hyperlink ref="C102" r:id="rId282"/>
    <hyperlink ref="C110" r:id="rId283"/>
    <hyperlink ref="C87" r:id="rId284"/>
    <hyperlink ref="C100" r:id="rId285"/>
    <hyperlink ref="C78" r:id="rId286"/>
    <hyperlink ref="C67" r:id="rId287"/>
    <hyperlink ref="C97" r:id="rId288"/>
    <hyperlink ref="C86" r:id="rId289"/>
    <hyperlink ref="C91" r:id="rId290"/>
    <hyperlink ref="C66" r:id="rId291"/>
    <hyperlink ref="C69" r:id="rId292" display="RK 1.04.1a  -ts -t16384 -mx3 -m256"/>
    <hyperlink ref="C65" r:id="rId293"/>
    <hyperlink ref="C60" r:id="rId294" display="Compressia 1.0b (max) 15MB engl. Solid"/>
    <hyperlink ref="C51" r:id="rId295"/>
    <hyperlink ref="C43" r:id="rId296"/>
    <hyperlink ref="C31" r:id="rId297"/>
    <hyperlink ref="C18" r:id="rId298"/>
    <hyperlink ref="C180" r:id="rId299"/>
    <hyperlink ref="C223" r:id="rId300" display="WinTurtle 1.4.0 (2007) Nania F. Antonio"/>
    <hyperlink ref="C426" r:id="rId301"/>
    <hyperlink ref="C366" r:id="rId302"/>
    <hyperlink ref="C47" r:id="rId303"/>
    <hyperlink ref="C196" r:id="rId304" display="PreComp 0.4.3 dev Christian Schneider"/>
    <hyperlink ref="C19" r:id="rId305" display="ZCM 0.30 -m7 -r -s (2012) N.F. Antonio"/>
    <hyperlink ref="C141" r:id="rId306" display="COMPROX_SA (09.2011) Zhang Li"/>
    <hyperlink ref="C56" r:id="rId307"/>
    <hyperlink ref="C57" r:id="rId308" display="ZPAQ 6.06 -method 4 Matt Mahoney"/>
    <hyperlink ref="C175" r:id="rId309"/>
    <hyperlink ref="C444" r:id="rId310"/>
    <hyperlink ref="C118" r:id="rId311"/>
    <hyperlink ref="C88" r:id="rId312"/>
    <hyperlink ref="C101" r:id="rId313"/>
    <hyperlink ref="C111" r:id="rId314"/>
    <hyperlink ref="C389" r:id="rId315" display="Data-Shrinker (2023) Fu Siyuan"/>
    <hyperlink ref="C363" r:id="rId316"/>
    <hyperlink ref="C410" r:id="rId317"/>
    <hyperlink ref="C438" r:id="rId318" display="KWC (2010) Sportsman"/>
    <hyperlink ref="C116" r:id="rId319"/>
    <hyperlink ref="R5" r:id="rId320"/>
    <hyperlink ref="C352" r:id="rId321" display="LZGT3 (2008) Gerald R. Tamayo"/>
    <hyperlink ref="C188" r:id="rId322" display="jTarsaLZP 21-Aug-2008 Piotr Tarsa"/>
    <hyperlink ref="C405" r:id="rId323"/>
    <hyperlink ref="C278" r:id="rId324" display="Symbra 0.2 Frank Schwellinger"/>
    <hyperlink ref="C74" r:id="rId325"/>
    <hyperlink ref="C271" r:id="rId326"/>
    <hyperlink ref="C280" r:id="rId327" display="RangeCoder 1.8 c2 28 David Catt"/>
    <hyperlink ref="C190" r:id="rId328"/>
    <hyperlink ref="C17" r:id="rId329" display="ZCM 0.30 -m7 -r -s (2012) N.F. Antonio"/>
    <hyperlink ref="C48" r:id="rId330" display="ZPAQ 6.06 -method 4 Matt Mahoney"/>
    <hyperlink ref="C152" r:id="rId331" display="COMPROX_SA (09.2011) Zhang Li"/>
    <hyperlink ref="C77" r:id="rId332" display="FLASHZIP 0.99c2 (2011) -r -s -m3 -c7 -b8"/>
    <hyperlink ref="C46" r:id="rId333"/>
    <hyperlink ref="C221" r:id="rId334"/>
    <hyperlink ref="C6" r:id="rId335"/>
  </hyperlinks>
  <pageMargins left="0.59027777777777779" right="0" top="0" bottom="0" header="0.51180555555555562" footer="0.51180555555555562"/>
  <pageSetup paperSize="9" scale="30" firstPageNumber="0" orientation="portrait" r:id="rId336"/>
  <headerFooter alignWithMargins="0"/>
  <drawing r:id="rId337"/>
  <legacyDrawing r:id="rId338"/>
  <picture r:id="rId339"/>
  <webPublishItems count="2">
    <webPublishItem id="27198" divId="SqueezeChart2013-preview_27198" sourceType="range" sourceRef="A1:Y23" destinationFile="E:\FILES 1989 - 2013\Files 2013\mainnn.htm"/>
    <webPublishItem id="7254" divId="SqueezeChart2013-preview_7254" sourceType="range" sourceRef="A1:Y480" destinationFile="E:\FILES 1989 - 2013\Files 2013\mainn.htm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B2B45B4-B7E0-49D9-A0B1-4780D4043E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X13:X474</xm:sqref>
        </x14:conditionalFormatting>
        <x14:conditionalFormatting xmlns:xm="http://schemas.microsoft.com/office/excel/2006/main">
          <x14:cfRule type="dataBar" id="{B9A7233C-5BEF-4AFF-8652-78CC1076370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F13:F437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Q158"/>
  <sheetViews>
    <sheetView showGridLines="0" topLeftCell="A36" workbookViewId="0">
      <selection activeCell="A59" sqref="A59"/>
    </sheetView>
  </sheetViews>
  <sheetFormatPr baseColWidth="10" defaultColWidth="9.140625" defaultRowHeight="12.75"/>
  <cols>
    <col min="1" max="1" width="2.7109375" style="1" customWidth="1"/>
    <col min="2" max="2" width="57.7109375" style="1" customWidth="1"/>
    <col min="3" max="3" width="4.5703125" style="1" customWidth="1"/>
    <col min="4" max="4" width="13.7109375" style="1" customWidth="1"/>
    <col min="5" max="11" width="15.42578125" style="1" customWidth="1"/>
    <col min="12" max="12" width="5.7109375" style="1" customWidth="1"/>
    <col min="13" max="13" width="50.7109375" style="1" customWidth="1"/>
    <col min="14" max="14" width="2.7109375" style="1" customWidth="1"/>
    <col min="15" max="15" width="6.7109375" style="1" customWidth="1"/>
    <col min="16" max="16" width="13.7109375" style="1" customWidth="1"/>
    <col min="17" max="17" width="8.140625" style="1" customWidth="1"/>
    <col min="18" max="16384" width="9.140625" style="1"/>
  </cols>
  <sheetData>
    <row r="1" spans="1:17" ht="67.5">
      <c r="A1" s="584"/>
      <c r="B1" s="688">
        <f ca="1">NOW()</f>
        <v>41295.601211689813</v>
      </c>
      <c r="C1" s="642" t="s">
        <v>1744</v>
      </c>
      <c r="D1" s="642"/>
      <c r="E1" s="642"/>
      <c r="F1" s="642"/>
      <c r="G1" s="642"/>
      <c r="H1" s="642"/>
      <c r="I1" s="642"/>
      <c r="J1" s="642"/>
      <c r="K1" s="642"/>
      <c r="L1" s="585"/>
      <c r="M1" s="585"/>
      <c r="N1" s="585"/>
      <c r="O1" s="585"/>
      <c r="P1" s="585"/>
      <c r="Q1" s="585"/>
    </row>
    <row r="2" spans="1:17" ht="15" customHeight="1">
      <c r="A2" s="49"/>
      <c r="B2" s="618" t="s">
        <v>1564</v>
      </c>
      <c r="C2" s="623"/>
      <c r="D2" s="616" t="s">
        <v>1537</v>
      </c>
      <c r="E2" s="686" t="s">
        <v>1616</v>
      </c>
      <c r="F2" s="686" t="s">
        <v>1617</v>
      </c>
      <c r="G2" s="686" t="s">
        <v>1618</v>
      </c>
      <c r="H2" s="686" t="s">
        <v>1619</v>
      </c>
      <c r="I2" s="686" t="s">
        <v>1620</v>
      </c>
      <c r="J2" s="686" t="s">
        <v>1621</v>
      </c>
      <c r="K2" s="686" t="s">
        <v>1622</v>
      </c>
      <c r="L2" s="5"/>
      <c r="M2" s="613"/>
      <c r="N2" s="586"/>
      <c r="O2" s="586"/>
      <c r="P2" s="587"/>
      <c r="Q2" s="587"/>
    </row>
    <row r="3" spans="1:17" ht="36" customHeight="1">
      <c r="A3" s="49"/>
      <c r="B3" s="3140" t="s">
        <v>1743</v>
      </c>
      <c r="C3" s="624"/>
      <c r="D3" s="617" t="s">
        <v>1626</v>
      </c>
      <c r="E3" s="664" t="s">
        <v>1609</v>
      </c>
      <c r="F3" s="664" t="s">
        <v>1610</v>
      </c>
      <c r="G3" s="664" t="s">
        <v>1611</v>
      </c>
      <c r="H3" s="664" t="s">
        <v>1612</v>
      </c>
      <c r="I3" s="665" t="s">
        <v>1613</v>
      </c>
      <c r="J3" s="665" t="s">
        <v>1614</v>
      </c>
      <c r="K3" s="665" t="s">
        <v>1615</v>
      </c>
      <c r="L3" s="5"/>
      <c r="M3" s="613"/>
      <c r="N3" s="586"/>
      <c r="O3" s="586"/>
      <c r="P3" s="587"/>
      <c r="Q3" s="587"/>
    </row>
    <row r="4" spans="1:17" ht="15" customHeight="1">
      <c r="A4" s="49"/>
      <c r="B4" s="3141"/>
      <c r="C4" s="624"/>
      <c r="D4" s="617" t="s">
        <v>1545</v>
      </c>
      <c r="E4" s="615" t="s">
        <v>1538</v>
      </c>
      <c r="F4" s="615" t="s">
        <v>1538</v>
      </c>
      <c r="G4" s="615" t="s">
        <v>1538</v>
      </c>
      <c r="H4" s="653"/>
      <c r="I4" s="619" t="s">
        <v>1538</v>
      </c>
      <c r="J4" s="619" t="s">
        <v>1538</v>
      </c>
      <c r="K4" s="619" t="s">
        <v>1538</v>
      </c>
      <c r="L4" s="5"/>
      <c r="M4" s="613"/>
      <c r="N4" s="586"/>
      <c r="O4" s="586"/>
      <c r="P4" s="587"/>
      <c r="Q4" s="587"/>
    </row>
    <row r="5" spans="1:17" ht="15" customHeight="1">
      <c r="A5" s="49"/>
      <c r="B5" s="659" t="s">
        <v>1539</v>
      </c>
      <c r="C5" s="624"/>
      <c r="D5" s="685" t="s">
        <v>1540</v>
      </c>
      <c r="E5" s="652" t="s">
        <v>1607</v>
      </c>
      <c r="F5" s="652" t="s">
        <v>1541</v>
      </c>
      <c r="G5" s="682" t="s">
        <v>1606</v>
      </c>
      <c r="H5" s="683"/>
      <c r="I5" s="620" t="s">
        <v>1542</v>
      </c>
      <c r="J5" s="620" t="s">
        <v>1543</v>
      </c>
      <c r="K5" s="620" t="s">
        <v>1544</v>
      </c>
      <c r="L5" s="5"/>
      <c r="M5" s="613"/>
      <c r="N5" s="586"/>
      <c r="O5" s="586"/>
      <c r="P5" s="587"/>
      <c r="Q5" s="587"/>
    </row>
    <row r="6" spans="1:17" ht="1.5" hidden="1" customHeight="1">
      <c r="A6" s="49"/>
      <c r="B6" s="659"/>
      <c r="C6" s="624"/>
      <c r="D6" s="1">
        <v>100</v>
      </c>
      <c r="E6" s="681">
        <f t="shared" ref="E6:K6" si="0">MIN(E7:E76)</f>
        <v>21324487</v>
      </c>
      <c r="F6" s="681">
        <f t="shared" si="0"/>
        <v>65855109</v>
      </c>
      <c r="G6" s="681">
        <f t="shared" si="0"/>
        <v>20771857</v>
      </c>
      <c r="H6" s="681">
        <f t="shared" si="0"/>
        <v>0</v>
      </c>
      <c r="I6" s="681">
        <f t="shared" si="0"/>
        <v>22759276</v>
      </c>
      <c r="J6" s="681">
        <f t="shared" si="0"/>
        <v>25262790</v>
      </c>
      <c r="K6" s="681">
        <f t="shared" si="0"/>
        <v>52216710</v>
      </c>
      <c r="L6" s="5"/>
      <c r="M6" s="613"/>
      <c r="N6" s="586"/>
      <c r="O6" s="586"/>
      <c r="P6" s="587"/>
      <c r="Q6" s="587"/>
    </row>
    <row r="7" spans="1:17" ht="18">
      <c r="A7" s="49"/>
      <c r="B7" s="52" t="s">
        <v>1608</v>
      </c>
      <c r="C7" s="721"/>
      <c r="D7" s="706">
        <f t="shared" ref="D7:D39" si="1">SUM(E7/E$6,F7/F$6,G7/G$6,I7/I$6,J7/J$6,K7/K$6)/6*100</f>
        <v>171.46939493587396</v>
      </c>
      <c r="E7" s="679">
        <v>36245448</v>
      </c>
      <c r="F7" s="641">
        <v>128217728</v>
      </c>
      <c r="G7" s="679">
        <v>39886856</v>
      </c>
      <c r="H7" s="680"/>
      <c r="I7" s="641">
        <v>34774648</v>
      </c>
      <c r="J7" s="641">
        <v>38215342</v>
      </c>
      <c r="K7" s="641">
        <v>87755684</v>
      </c>
      <c r="L7" s="5"/>
      <c r="M7" s="588"/>
      <c r="N7" s="589"/>
      <c r="O7" s="590"/>
      <c r="P7" s="591"/>
      <c r="Q7" s="53"/>
    </row>
    <row r="8" spans="1:17" ht="18">
      <c r="A8" s="592"/>
      <c r="B8" s="673" t="s">
        <v>1516</v>
      </c>
      <c r="C8" s="722"/>
      <c r="D8" s="706">
        <f t="shared" si="1"/>
        <v>100.06774435236687</v>
      </c>
      <c r="E8" s="726">
        <v>21324487</v>
      </c>
      <c r="F8" s="639">
        <v>65919345</v>
      </c>
      <c r="G8" s="639">
        <v>20771857</v>
      </c>
      <c r="H8" s="639"/>
      <c r="I8" s="216">
        <v>22759276</v>
      </c>
      <c r="J8" s="216">
        <v>25340833</v>
      </c>
      <c r="K8" s="216">
        <v>52216710</v>
      </c>
      <c r="L8" s="5"/>
      <c r="M8" s="593"/>
      <c r="N8" s="594"/>
      <c r="O8" s="595"/>
      <c r="P8" s="596"/>
      <c r="Q8" s="53"/>
    </row>
    <row r="9" spans="1:17" ht="18">
      <c r="A9" s="592"/>
      <c r="B9" s="673" t="s">
        <v>1571</v>
      </c>
      <c r="C9" s="693"/>
      <c r="D9" s="706">
        <f t="shared" si="1"/>
        <v>100.53115407170527</v>
      </c>
      <c r="E9" s="727">
        <v>21394272</v>
      </c>
      <c r="F9" s="671">
        <v>65905363</v>
      </c>
      <c r="G9" s="671">
        <v>20880497</v>
      </c>
      <c r="H9" s="671"/>
      <c r="I9" s="672">
        <v>23179339</v>
      </c>
      <c r="J9" s="647">
        <v>25262790</v>
      </c>
      <c r="K9" s="647">
        <v>52433236</v>
      </c>
      <c r="L9" s="5"/>
      <c r="M9" s="593"/>
      <c r="N9" s="594"/>
      <c r="O9" s="595"/>
      <c r="P9" s="596"/>
      <c r="Q9" s="53"/>
    </row>
    <row r="10" spans="1:17" ht="18">
      <c r="A10" s="592"/>
      <c r="B10" s="673" t="s">
        <v>1573</v>
      </c>
      <c r="C10" s="715"/>
      <c r="D10" s="706">
        <f t="shared" si="1"/>
        <v>100.83529066972562</v>
      </c>
      <c r="E10" s="674">
        <v>21409039</v>
      </c>
      <c r="F10" s="675">
        <v>65924298</v>
      </c>
      <c r="G10" s="675">
        <v>20891428</v>
      </c>
      <c r="H10" s="675"/>
      <c r="I10" s="676">
        <v>23200462</v>
      </c>
      <c r="J10" s="647">
        <v>25648461</v>
      </c>
      <c r="K10" s="647">
        <v>52461823</v>
      </c>
      <c r="L10" s="5"/>
      <c r="M10" s="593"/>
      <c r="N10" s="594"/>
      <c r="O10" s="595"/>
      <c r="P10" s="596"/>
      <c r="Q10" s="53"/>
    </row>
    <row r="11" spans="1:17" ht="18">
      <c r="A11" s="592"/>
      <c r="B11" s="673" t="s">
        <v>1572</v>
      </c>
      <c r="C11" s="723"/>
      <c r="D11" s="706">
        <f t="shared" si="1"/>
        <v>100.83632366516511</v>
      </c>
      <c r="E11" s="63">
        <v>21462685</v>
      </c>
      <c r="F11" s="643">
        <v>65968862</v>
      </c>
      <c r="G11" s="643">
        <v>20997533</v>
      </c>
      <c r="H11" s="643"/>
      <c r="I11" s="647">
        <v>23186912</v>
      </c>
      <c r="J11" s="647">
        <v>25483494</v>
      </c>
      <c r="K11" s="647">
        <v>52403699</v>
      </c>
      <c r="L11" s="5"/>
      <c r="M11" s="593"/>
      <c r="N11" s="594"/>
      <c r="O11" s="595"/>
      <c r="P11" s="596"/>
      <c r="Q11" s="53"/>
    </row>
    <row r="12" spans="1:17" ht="18">
      <c r="A12" s="597"/>
      <c r="B12" s="628" t="s">
        <v>1646</v>
      </c>
      <c r="C12" s="666"/>
      <c r="D12" s="706">
        <f>SUM(E12/E$6,F12/F$6,G12/G$6,I12/I$6,J12/J$6,K12/K$6)/6*100</f>
        <v>100.91231103815235</v>
      </c>
      <c r="E12" s="728">
        <v>21435946</v>
      </c>
      <c r="F12" s="635">
        <v>65855109</v>
      </c>
      <c r="G12" s="650">
        <v>21064336</v>
      </c>
      <c r="H12" s="635"/>
      <c r="I12" s="583">
        <v>23289649</v>
      </c>
      <c r="J12" s="583">
        <v>25485901</v>
      </c>
      <c r="K12" s="583">
        <v>52388822</v>
      </c>
      <c r="L12" s="5"/>
      <c r="M12" s="598"/>
      <c r="N12" s="599"/>
      <c r="O12" s="595"/>
      <c r="P12" s="596"/>
      <c r="Q12" s="53"/>
    </row>
    <row r="13" spans="1:17" ht="18">
      <c r="A13" s="597"/>
      <c r="B13" s="651" t="s">
        <v>1576</v>
      </c>
      <c r="C13" s="666"/>
      <c r="D13" s="706">
        <f>SUM(E13/E$6,F13/F$6,G13/G$6,I13/I$6,J13/J$6,K13/K$6)/6*100</f>
        <v>100.98854279607532</v>
      </c>
      <c r="E13" s="728">
        <v>21414633</v>
      </c>
      <c r="F13" s="650">
        <v>66045189</v>
      </c>
      <c r="G13" s="650">
        <v>20928375</v>
      </c>
      <c r="H13" s="650"/>
      <c r="I13" s="650">
        <v>23279402</v>
      </c>
      <c r="J13" s="650">
        <v>25687601</v>
      </c>
      <c r="K13" s="650">
        <v>52477519</v>
      </c>
      <c r="L13" s="670"/>
      <c r="M13" s="598"/>
      <c r="N13" s="599"/>
      <c r="O13" s="595"/>
      <c r="P13" s="596"/>
      <c r="Q13" s="53"/>
    </row>
    <row r="14" spans="1:17" ht="18">
      <c r="A14" s="597"/>
      <c r="B14" s="651" t="s">
        <v>1575</v>
      </c>
      <c r="C14" s="666"/>
      <c r="D14" s="706">
        <f>SUM(E14/E$6,F14/F$6,G14/G$6,I14/I$6,J14/J$6,K14/K$6)/6*100</f>
        <v>101.15702585109368</v>
      </c>
      <c r="E14" s="728">
        <v>21583626</v>
      </c>
      <c r="F14" s="713">
        <v>66168600</v>
      </c>
      <c r="G14" s="713">
        <v>21057261</v>
      </c>
      <c r="H14" s="713"/>
      <c r="I14" s="714">
        <v>23269869</v>
      </c>
      <c r="J14" s="714">
        <v>25557810</v>
      </c>
      <c r="K14" s="702">
        <v>52459861</v>
      </c>
      <c r="L14" s="7"/>
      <c r="M14" s="598"/>
      <c r="N14" s="599"/>
      <c r="O14" s="595"/>
      <c r="P14" s="596"/>
      <c r="Q14" s="53"/>
    </row>
    <row r="15" spans="1:17" ht="18">
      <c r="A15" s="597"/>
      <c r="B15" s="628" t="s">
        <v>1574</v>
      </c>
      <c r="C15" s="669"/>
      <c r="D15" s="706">
        <f t="shared" si="1"/>
        <v>101.20201896412387</v>
      </c>
      <c r="E15" s="728">
        <v>21476583</v>
      </c>
      <c r="F15" s="635">
        <v>65936413</v>
      </c>
      <c r="G15" s="650">
        <v>21200966</v>
      </c>
      <c r="H15" s="635"/>
      <c r="I15" s="583">
        <v>23319973</v>
      </c>
      <c r="J15" s="583">
        <v>25571633</v>
      </c>
      <c r="K15" s="583">
        <v>52542266</v>
      </c>
      <c r="L15" s="5"/>
      <c r="M15" s="598"/>
      <c r="N15" s="600"/>
      <c r="O15" s="595"/>
      <c r="P15" s="596"/>
      <c r="Q15" s="53"/>
    </row>
    <row r="16" spans="1:17" ht="18" customHeight="1">
      <c r="A16" s="597"/>
      <c r="B16" s="628" t="s">
        <v>1577</v>
      </c>
      <c r="C16" s="666"/>
      <c r="D16" s="706">
        <f t="shared" si="1"/>
        <v>101.33524137676405</v>
      </c>
      <c r="E16" s="728">
        <v>21457439</v>
      </c>
      <c r="F16" s="635">
        <v>66142172</v>
      </c>
      <c r="G16" s="650">
        <v>21021517</v>
      </c>
      <c r="H16" s="635"/>
      <c r="I16" s="658">
        <v>23508884</v>
      </c>
      <c r="J16" s="614">
        <v>25739164</v>
      </c>
      <c r="K16" s="614">
        <v>52514789</v>
      </c>
      <c r="L16" s="5"/>
      <c r="M16" s="598"/>
      <c r="N16" s="600"/>
      <c r="O16" s="595"/>
      <c r="P16" s="596"/>
      <c r="Q16" s="53"/>
    </row>
    <row r="17" spans="1:17" ht="18" customHeight="1">
      <c r="A17" s="597"/>
      <c r="B17" s="628" t="s">
        <v>1578</v>
      </c>
      <c r="C17" s="666"/>
      <c r="D17" s="706">
        <f t="shared" si="1"/>
        <v>101.41426186608371</v>
      </c>
      <c r="E17" s="728">
        <v>21465370</v>
      </c>
      <c r="F17" s="635">
        <v>66174736</v>
      </c>
      <c r="G17" s="650">
        <v>21055736</v>
      </c>
      <c r="H17" s="635"/>
      <c r="I17" s="658">
        <v>23551281</v>
      </c>
      <c r="J17" s="644">
        <v>25748767</v>
      </c>
      <c r="K17" s="644">
        <v>52513979</v>
      </c>
      <c r="L17" s="5"/>
      <c r="M17" s="598"/>
      <c r="N17" s="600"/>
      <c r="O17" s="595"/>
      <c r="P17" s="596"/>
      <c r="Q17" s="53"/>
    </row>
    <row r="18" spans="1:17" ht="18" customHeight="1">
      <c r="A18" s="597" t="s">
        <v>1517</v>
      </c>
      <c r="B18" s="628" t="s">
        <v>1567</v>
      </c>
      <c r="C18" s="699" t="s">
        <v>46</v>
      </c>
      <c r="D18" s="706">
        <f t="shared" si="1"/>
        <v>102.04084094413528</v>
      </c>
      <c r="E18" s="701">
        <v>21773012</v>
      </c>
      <c r="F18" s="634">
        <v>66690912</v>
      </c>
      <c r="G18" s="656">
        <v>21499324</v>
      </c>
      <c r="H18" s="634"/>
      <c r="I18" s="583">
        <v>23232776</v>
      </c>
      <c r="J18" s="583">
        <v>25784942</v>
      </c>
      <c r="K18" s="583">
        <v>52855336</v>
      </c>
      <c r="L18" s="5"/>
      <c r="M18" s="598"/>
      <c r="N18" s="599"/>
      <c r="O18" s="595"/>
      <c r="P18" s="596"/>
      <c r="Q18" s="53"/>
    </row>
    <row r="19" spans="1:17" ht="18">
      <c r="A19" s="597"/>
      <c r="B19" s="628" t="s">
        <v>1558</v>
      </c>
      <c r="C19" s="669"/>
      <c r="D19" s="706">
        <f t="shared" si="1"/>
        <v>102.60412021323609</v>
      </c>
      <c r="E19" s="729">
        <v>21655480</v>
      </c>
      <c r="F19" s="636">
        <v>67062391</v>
      </c>
      <c r="G19" s="657">
        <v>21510660</v>
      </c>
      <c r="H19" s="636"/>
      <c r="I19" s="583">
        <v>23784675</v>
      </c>
      <c r="J19" s="583">
        <v>25908260</v>
      </c>
      <c r="K19" s="583">
        <v>53063730</v>
      </c>
      <c r="L19" s="5"/>
      <c r="M19" s="593"/>
      <c r="N19" s="594"/>
      <c r="O19" s="595"/>
      <c r="P19" s="596"/>
      <c r="Q19" s="53"/>
    </row>
    <row r="20" spans="1:17" ht="18">
      <c r="A20" s="597"/>
      <c r="B20" s="831" t="s">
        <v>1566</v>
      </c>
      <c r="C20" s="666"/>
      <c r="D20" s="706">
        <f t="shared" si="1"/>
        <v>102.68558105122597</v>
      </c>
      <c r="E20" s="728">
        <v>22205242</v>
      </c>
      <c r="F20" s="635">
        <v>66782859</v>
      </c>
      <c r="G20" s="650">
        <v>21317921</v>
      </c>
      <c r="H20" s="635"/>
      <c r="I20" s="583">
        <v>23868479</v>
      </c>
      <c r="J20" s="583">
        <v>25747527</v>
      </c>
      <c r="K20" s="583">
        <v>52818866</v>
      </c>
      <c r="L20" s="5"/>
      <c r="M20" s="593"/>
      <c r="N20" s="594"/>
      <c r="O20" s="595"/>
      <c r="P20" s="596"/>
      <c r="Q20" s="53"/>
    </row>
    <row r="21" spans="1:17" ht="18">
      <c r="A21" s="597"/>
      <c r="B21" s="628" t="s">
        <v>1554</v>
      </c>
      <c r="C21" s="695"/>
      <c r="D21" s="706">
        <f t="shared" si="1"/>
        <v>102.8211606525079</v>
      </c>
      <c r="E21" s="728">
        <v>21773958</v>
      </c>
      <c r="F21" s="635">
        <v>66940872</v>
      </c>
      <c r="G21" s="650">
        <v>21667444</v>
      </c>
      <c r="H21" s="635"/>
      <c r="I21" s="583">
        <v>23709460</v>
      </c>
      <c r="J21" s="583">
        <v>25978223</v>
      </c>
      <c r="K21" s="583">
        <v>53183787</v>
      </c>
      <c r="L21" s="5"/>
      <c r="M21" s="593"/>
      <c r="N21" s="594"/>
      <c r="O21" s="595"/>
      <c r="P21" s="596"/>
      <c r="Q21" s="53"/>
    </row>
    <row r="22" spans="1:17" ht="18">
      <c r="A22" s="597"/>
      <c r="B22" s="628" t="s">
        <v>1520</v>
      </c>
      <c r="C22" s="654"/>
      <c r="D22" s="706">
        <f t="shared" si="1"/>
        <v>102.84239421713121</v>
      </c>
      <c r="E22" s="728">
        <v>21739304</v>
      </c>
      <c r="F22" s="635">
        <v>66757360</v>
      </c>
      <c r="G22" s="650">
        <v>21603658</v>
      </c>
      <c r="H22" s="635"/>
      <c r="I22" s="583">
        <v>23934526</v>
      </c>
      <c r="J22" s="583">
        <v>26003946</v>
      </c>
      <c r="K22" s="583">
        <v>53071484</v>
      </c>
      <c r="L22" s="5"/>
      <c r="M22" s="593"/>
      <c r="N22" s="594"/>
      <c r="O22" s="595"/>
      <c r="P22" s="596"/>
      <c r="Q22" s="53"/>
    </row>
    <row r="23" spans="1:17" ht="18">
      <c r="A23" s="597"/>
      <c r="B23" s="630" t="s">
        <v>1551</v>
      </c>
      <c r="C23" s="654" t="s">
        <v>46</v>
      </c>
      <c r="D23" s="706">
        <f t="shared" si="1"/>
        <v>103.03102494437766</v>
      </c>
      <c r="E23" s="728">
        <v>21709126</v>
      </c>
      <c r="F23" s="635">
        <v>66303381</v>
      </c>
      <c r="G23" s="650">
        <v>21769644</v>
      </c>
      <c r="H23" s="635"/>
      <c r="I23" s="583">
        <v>24155223</v>
      </c>
      <c r="J23" s="583">
        <v>26023095</v>
      </c>
      <c r="K23" s="583">
        <v>53133137</v>
      </c>
      <c r="L23" s="5"/>
      <c r="M23" s="593"/>
      <c r="N23" s="594"/>
      <c r="O23" s="595"/>
      <c r="P23" s="596"/>
      <c r="Q23" s="53"/>
    </row>
    <row r="24" spans="1:17" ht="18">
      <c r="A24" s="597"/>
      <c r="B24" s="622" t="s">
        <v>1518</v>
      </c>
      <c r="C24" s="696"/>
      <c r="D24" s="706">
        <f t="shared" si="1"/>
        <v>103.99123162220813</v>
      </c>
      <c r="E24" s="728">
        <v>21969566</v>
      </c>
      <c r="F24" s="635">
        <v>67348121</v>
      </c>
      <c r="G24" s="650">
        <v>22271072</v>
      </c>
      <c r="H24" s="635"/>
      <c r="I24" s="583">
        <v>24189941</v>
      </c>
      <c r="J24" s="583">
        <v>26001548</v>
      </c>
      <c r="K24" s="583">
        <v>53379740</v>
      </c>
      <c r="L24" s="5"/>
      <c r="M24" s="593"/>
      <c r="N24" s="594"/>
      <c r="O24" s="595"/>
      <c r="P24" s="596"/>
      <c r="Q24" s="53"/>
    </row>
    <row r="25" spans="1:17" ht="18">
      <c r="A25" s="597"/>
      <c r="B25" s="832" t="s">
        <v>1677</v>
      </c>
      <c r="C25" s="654" t="s">
        <v>46</v>
      </c>
      <c r="D25" s="706">
        <f t="shared" si="1"/>
        <v>104.16496085151262</v>
      </c>
      <c r="E25" s="728">
        <v>22053510</v>
      </c>
      <c r="F25" s="635">
        <v>67999984</v>
      </c>
      <c r="G25" s="650">
        <v>22136677</v>
      </c>
      <c r="H25" s="635"/>
      <c r="I25" s="583">
        <v>24194077</v>
      </c>
      <c r="J25" s="583">
        <v>26042422</v>
      </c>
      <c r="K25" s="583">
        <v>53445490</v>
      </c>
      <c r="L25" s="5"/>
      <c r="M25" s="593"/>
      <c r="N25" s="594"/>
      <c r="O25" s="595"/>
      <c r="P25" s="596"/>
      <c r="Q25" s="53"/>
    </row>
    <row r="26" spans="1:17" ht="18">
      <c r="A26" s="597"/>
      <c r="B26" s="628" t="s">
        <v>1580</v>
      </c>
      <c r="C26" s="654" t="s">
        <v>46</v>
      </c>
      <c r="D26" s="706">
        <f t="shared" si="1"/>
        <v>104.55384745916996</v>
      </c>
      <c r="E26" s="728">
        <v>22091988</v>
      </c>
      <c r="F26" s="635">
        <v>67852928</v>
      </c>
      <c r="G26" s="650">
        <v>22165314</v>
      </c>
      <c r="H26" s="635"/>
      <c r="I26" s="583">
        <v>24367168</v>
      </c>
      <c r="J26" s="583">
        <v>26364854</v>
      </c>
      <c r="K26" s="583">
        <v>53550694</v>
      </c>
      <c r="L26" s="5"/>
      <c r="M26" s="593"/>
      <c r="N26" s="594"/>
      <c r="O26" s="595"/>
      <c r="P26" s="596"/>
      <c r="Q26" s="53"/>
    </row>
    <row r="27" spans="1:17" ht="18">
      <c r="A27" s="597"/>
      <c r="B27" s="628" t="s">
        <v>1581</v>
      </c>
      <c r="C27" s="666"/>
      <c r="D27" s="706">
        <f t="shared" si="1"/>
        <v>104.65493019815926</v>
      </c>
      <c r="E27" s="728">
        <v>21916318</v>
      </c>
      <c r="F27" s="635">
        <v>68189643</v>
      </c>
      <c r="G27" s="650">
        <v>22432156</v>
      </c>
      <c r="H27" s="635"/>
      <c r="I27" s="583">
        <v>24246763</v>
      </c>
      <c r="J27" s="583">
        <v>26331073</v>
      </c>
      <c r="K27" s="583">
        <v>53705839</v>
      </c>
      <c r="L27" s="5"/>
      <c r="M27" s="593"/>
      <c r="N27" s="594"/>
      <c r="O27" s="595"/>
      <c r="P27" s="596"/>
      <c r="Q27" s="53"/>
    </row>
    <row r="28" spans="1:17" ht="18">
      <c r="A28" s="597"/>
      <c r="B28" s="630" t="s">
        <v>1552</v>
      </c>
      <c r="C28" s="699" t="s">
        <v>46</v>
      </c>
      <c r="D28" s="706">
        <f t="shared" si="1"/>
        <v>104.73553510866358</v>
      </c>
      <c r="E28" s="701">
        <v>23406780</v>
      </c>
      <c r="F28" s="634">
        <v>66400907</v>
      </c>
      <c r="G28" s="656">
        <v>21499324</v>
      </c>
      <c r="H28" s="632"/>
      <c r="I28" s="583">
        <v>23658029</v>
      </c>
      <c r="J28" s="583">
        <v>26513997</v>
      </c>
      <c r="K28" s="583">
        <v>55044627</v>
      </c>
      <c r="L28" s="5"/>
      <c r="M28" s="593"/>
      <c r="N28" s="594"/>
      <c r="O28" s="595"/>
      <c r="P28" s="596"/>
      <c r="Q28" s="53"/>
    </row>
    <row r="29" spans="1:17" ht="18">
      <c r="A29" s="597"/>
      <c r="B29" s="628" t="s">
        <v>1550</v>
      </c>
      <c r="C29" s="666"/>
      <c r="D29" s="706">
        <f t="shared" si="1"/>
        <v>105.12382200323816</v>
      </c>
      <c r="E29" s="728">
        <v>22138600</v>
      </c>
      <c r="F29" s="635">
        <v>68465350</v>
      </c>
      <c r="G29" s="650">
        <v>22402562</v>
      </c>
      <c r="H29" s="635"/>
      <c r="I29" s="583">
        <v>24416214</v>
      </c>
      <c r="J29" s="583">
        <v>26530666</v>
      </c>
      <c r="K29" s="583">
        <v>53685048</v>
      </c>
      <c r="L29" s="5"/>
      <c r="M29" s="593"/>
      <c r="N29" s="602"/>
      <c r="O29" s="595"/>
      <c r="P29" s="596"/>
      <c r="Q29" s="53"/>
    </row>
    <row r="30" spans="1:17" ht="18">
      <c r="A30" s="597"/>
      <c r="B30" s="628" t="s">
        <v>1548</v>
      </c>
      <c r="C30" s="666"/>
      <c r="D30" s="706">
        <f t="shared" si="1"/>
        <v>105.67550255411165</v>
      </c>
      <c r="E30" s="701">
        <v>22224557</v>
      </c>
      <c r="F30" s="634">
        <v>68433761</v>
      </c>
      <c r="G30" s="656">
        <v>22507079</v>
      </c>
      <c r="H30" s="632"/>
      <c r="I30" s="583">
        <v>24660843</v>
      </c>
      <c r="J30" s="583">
        <v>26678924</v>
      </c>
      <c r="K30" s="583">
        <v>54097600</v>
      </c>
      <c r="L30" s="5"/>
      <c r="M30" s="593"/>
      <c r="N30" s="594"/>
      <c r="O30" s="595"/>
      <c r="P30" s="596"/>
      <c r="Q30" s="53"/>
    </row>
    <row r="31" spans="1:17" ht="18">
      <c r="A31" s="597"/>
      <c r="B31" s="646" t="s">
        <v>1549</v>
      </c>
      <c r="C31" s="654" t="s">
        <v>46</v>
      </c>
      <c r="D31" s="706">
        <f t="shared" si="1"/>
        <v>105.68707429755658</v>
      </c>
      <c r="E31" s="728">
        <v>22277702</v>
      </c>
      <c r="F31" s="635">
        <v>68406715</v>
      </c>
      <c r="G31" s="650">
        <v>22504084</v>
      </c>
      <c r="H31" s="635"/>
      <c r="I31" s="583">
        <v>24782201</v>
      </c>
      <c r="J31" s="583">
        <v>26479587</v>
      </c>
      <c r="K31" s="583">
        <v>54166279</v>
      </c>
      <c r="L31" s="5"/>
      <c r="M31" s="593"/>
      <c r="N31" s="594"/>
      <c r="O31" s="595"/>
      <c r="P31" s="596"/>
      <c r="Q31" s="53"/>
    </row>
    <row r="32" spans="1:17" ht="18">
      <c r="A32" s="597" t="s">
        <v>1519</v>
      </c>
      <c r="B32" s="628" t="s">
        <v>1526</v>
      </c>
      <c r="C32" s="654" t="s">
        <v>46</v>
      </c>
      <c r="D32" s="706">
        <f t="shared" si="1"/>
        <v>105.94162362847352</v>
      </c>
      <c r="E32" s="728">
        <v>22433587</v>
      </c>
      <c r="F32" s="635">
        <v>69078974</v>
      </c>
      <c r="G32" s="650">
        <v>22559221</v>
      </c>
      <c r="H32" s="635"/>
      <c r="I32" s="583">
        <v>24421504</v>
      </c>
      <c r="J32" s="583">
        <v>26781826</v>
      </c>
      <c r="K32" s="583">
        <v>54113269</v>
      </c>
      <c r="L32" s="5"/>
      <c r="M32" s="593"/>
      <c r="N32" s="599"/>
      <c r="O32" s="595"/>
      <c r="P32" s="596"/>
      <c r="Q32" s="53"/>
    </row>
    <row r="33" spans="1:17" ht="18">
      <c r="A33" s="597"/>
      <c r="B33" s="626" t="s">
        <v>1570</v>
      </c>
      <c r="C33" s="667"/>
      <c r="D33" s="706">
        <f t="shared" si="1"/>
        <v>106.56306849146287</v>
      </c>
      <c r="E33" s="701">
        <v>22349704</v>
      </c>
      <c r="F33" s="634">
        <v>69230650</v>
      </c>
      <c r="G33" s="656">
        <v>22568666</v>
      </c>
      <c r="H33" s="634"/>
      <c r="I33" s="583">
        <v>24824110</v>
      </c>
      <c r="J33" s="583">
        <v>27141458</v>
      </c>
      <c r="K33" s="583">
        <v>54454613</v>
      </c>
      <c r="L33" s="5"/>
      <c r="M33" s="598"/>
      <c r="N33" s="594"/>
      <c r="O33" s="595"/>
      <c r="P33" s="596"/>
      <c r="Q33" s="53"/>
    </row>
    <row r="34" spans="1:17" ht="18">
      <c r="A34" s="597" t="s">
        <v>1521</v>
      </c>
      <c r="B34" s="630" t="s">
        <v>1528</v>
      </c>
      <c r="C34" s="654" t="s">
        <v>46</v>
      </c>
      <c r="D34" s="706">
        <f t="shared" si="1"/>
        <v>106.59639176433843</v>
      </c>
      <c r="E34" s="701">
        <v>22369551</v>
      </c>
      <c r="F34" s="634">
        <v>69546120</v>
      </c>
      <c r="G34" s="656">
        <v>22708276</v>
      </c>
      <c r="H34" s="634"/>
      <c r="I34" s="583">
        <v>24927456</v>
      </c>
      <c r="J34" s="583">
        <v>26791860</v>
      </c>
      <c r="K34" s="583">
        <v>54394816</v>
      </c>
      <c r="L34" s="5"/>
      <c r="M34" s="593"/>
      <c r="N34" s="599"/>
      <c r="O34" s="595"/>
      <c r="P34" s="596"/>
      <c r="Q34" s="53"/>
    </row>
    <row r="35" spans="1:17" ht="18">
      <c r="A35" s="597"/>
      <c r="B35" s="637" t="s">
        <v>1582</v>
      </c>
      <c r="C35" s="666"/>
      <c r="D35" s="706">
        <f t="shared" si="1"/>
        <v>106.67319378869816</v>
      </c>
      <c r="E35" s="729">
        <v>22448909</v>
      </c>
      <c r="F35" s="636">
        <v>67870781</v>
      </c>
      <c r="G35" s="657">
        <v>22421444</v>
      </c>
      <c r="H35" s="636"/>
      <c r="I35" s="583">
        <v>26244022</v>
      </c>
      <c r="J35" s="583">
        <v>26478796</v>
      </c>
      <c r="K35" s="583">
        <v>54117022</v>
      </c>
      <c r="L35" s="5"/>
      <c r="M35" s="593"/>
      <c r="N35" s="594"/>
      <c r="O35" s="595"/>
      <c r="P35" s="596"/>
      <c r="Q35" s="53"/>
    </row>
    <row r="36" spans="1:17" ht="18">
      <c r="A36" s="597"/>
      <c r="B36" s="628" t="s">
        <v>1583</v>
      </c>
      <c r="C36" s="654" t="s">
        <v>46</v>
      </c>
      <c r="D36" s="706">
        <f t="shared" si="1"/>
        <v>106.83616823448456</v>
      </c>
      <c r="E36" s="729">
        <v>22476052</v>
      </c>
      <c r="F36" s="636">
        <v>69763820</v>
      </c>
      <c r="G36" s="657">
        <v>22889216</v>
      </c>
      <c r="H36" s="636"/>
      <c r="I36" s="583">
        <v>24579496</v>
      </c>
      <c r="J36" s="583">
        <v>27105996</v>
      </c>
      <c r="K36" s="583">
        <v>54406810</v>
      </c>
      <c r="L36" s="5"/>
      <c r="M36" s="593"/>
      <c r="N36" s="594"/>
      <c r="O36" s="595"/>
      <c r="P36" s="596"/>
      <c r="Q36" s="53"/>
    </row>
    <row r="37" spans="1:17" ht="18">
      <c r="A37" s="597"/>
      <c r="B37" s="628" t="s">
        <v>1640</v>
      </c>
      <c r="C37" s="666"/>
      <c r="D37" s="706">
        <f t="shared" si="1"/>
        <v>107.19690315965926</v>
      </c>
      <c r="E37" s="729">
        <v>22487987</v>
      </c>
      <c r="F37" s="636">
        <v>71063290</v>
      </c>
      <c r="G37" s="657">
        <v>22906100</v>
      </c>
      <c r="H37" s="636"/>
      <c r="I37" s="583">
        <v>24793318</v>
      </c>
      <c r="J37" s="583">
        <v>26811647</v>
      </c>
      <c r="K37" s="583">
        <v>54552801</v>
      </c>
      <c r="L37" s="5"/>
      <c r="M37" s="56"/>
      <c r="N37" s="599"/>
      <c r="O37" s="595"/>
      <c r="P37" s="596"/>
      <c r="Q37" s="53"/>
    </row>
    <row r="38" spans="1:17" ht="18">
      <c r="A38" s="597" t="s">
        <v>1522</v>
      </c>
      <c r="B38" s="833" t="s">
        <v>1555</v>
      </c>
      <c r="C38" s="654" t="s">
        <v>46</v>
      </c>
      <c r="D38" s="706">
        <f t="shared" si="1"/>
        <v>107.99666613805682</v>
      </c>
      <c r="E38" s="701">
        <v>22091043</v>
      </c>
      <c r="F38" s="634">
        <v>67803799</v>
      </c>
      <c r="G38" s="650">
        <v>21791361</v>
      </c>
      <c r="H38" s="635"/>
      <c r="I38" s="583">
        <v>26681950</v>
      </c>
      <c r="J38" s="583">
        <v>29458346</v>
      </c>
      <c r="K38" s="583">
        <v>53613491</v>
      </c>
      <c r="L38" s="5"/>
      <c r="M38" s="56"/>
      <c r="N38" s="594"/>
      <c r="O38" s="595"/>
      <c r="P38" s="596"/>
      <c r="Q38" s="53"/>
    </row>
    <row r="39" spans="1:17" ht="18">
      <c r="A39" s="597" t="s">
        <v>1523</v>
      </c>
      <c r="B39" s="621" t="s">
        <v>1584</v>
      </c>
      <c r="C39" s="666"/>
      <c r="D39" s="706">
        <f t="shared" si="1"/>
        <v>108.66629625798767</v>
      </c>
      <c r="E39" s="729">
        <v>23271012</v>
      </c>
      <c r="F39" s="636">
        <v>69737044</v>
      </c>
      <c r="G39" s="657">
        <v>23212082</v>
      </c>
      <c r="H39" s="636"/>
      <c r="I39" s="583">
        <v>24642181</v>
      </c>
      <c r="J39" s="583">
        <v>27857032</v>
      </c>
      <c r="K39" s="583">
        <v>55707446</v>
      </c>
      <c r="L39" s="5"/>
      <c r="M39" s="56"/>
      <c r="N39" s="599"/>
      <c r="O39" s="595"/>
      <c r="P39" s="596"/>
      <c r="Q39" s="53"/>
    </row>
    <row r="40" spans="1:17" ht="18">
      <c r="A40" s="597" t="s">
        <v>1524</v>
      </c>
      <c r="B40" s="628" t="s">
        <v>1547</v>
      </c>
      <c r="C40" s="666"/>
      <c r="D40" s="706">
        <f t="shared" ref="D40:D46" si="2">SUM(E40/E$6,F40/F$6,G40/G$6,I40/I$6,J40/J$6,K40/K$6)/6*100</f>
        <v>108.87630581795821</v>
      </c>
      <c r="E40" s="729">
        <v>22632186</v>
      </c>
      <c r="F40" s="636">
        <v>72421335</v>
      </c>
      <c r="G40" s="657">
        <v>23170478</v>
      </c>
      <c r="H40" s="631"/>
      <c r="I40" s="583">
        <v>25118341</v>
      </c>
      <c r="J40" s="583">
        <v>27441275</v>
      </c>
      <c r="K40" s="583">
        <v>55672775</v>
      </c>
      <c r="L40" s="5"/>
      <c r="M40" s="593"/>
      <c r="N40" s="594"/>
      <c r="O40" s="595"/>
      <c r="P40" s="596"/>
      <c r="Q40" s="53"/>
    </row>
    <row r="41" spans="1:17" ht="18">
      <c r="A41" s="597" t="s">
        <v>1525</v>
      </c>
      <c r="B41" s="628" t="s">
        <v>1562</v>
      </c>
      <c r="C41" s="667"/>
      <c r="D41" s="706">
        <f t="shared" si="2"/>
        <v>108.89974304691934</v>
      </c>
      <c r="E41" s="729">
        <v>24069084</v>
      </c>
      <c r="F41" s="636">
        <v>68179465</v>
      </c>
      <c r="G41" s="657">
        <v>23458090</v>
      </c>
      <c r="H41" s="636"/>
      <c r="I41" s="583">
        <v>24778911</v>
      </c>
      <c r="J41" s="583">
        <v>27113105</v>
      </c>
      <c r="K41" s="583">
        <v>56325160</v>
      </c>
      <c r="L41" s="5"/>
      <c r="M41" s="593"/>
      <c r="N41" s="594"/>
      <c r="O41" s="595"/>
      <c r="P41" s="596"/>
      <c r="Q41" s="53"/>
    </row>
    <row r="42" spans="1:17" ht="18">
      <c r="A42" s="597" t="s">
        <v>1527</v>
      </c>
      <c r="B42" s="628" t="s">
        <v>1563</v>
      </c>
      <c r="C42" s="666"/>
      <c r="D42" s="706">
        <f t="shared" si="2"/>
        <v>109.0948277414434</v>
      </c>
      <c r="E42" s="701">
        <v>22928506</v>
      </c>
      <c r="F42" s="634">
        <v>72082762</v>
      </c>
      <c r="G42" s="656">
        <v>23199216</v>
      </c>
      <c r="H42" s="634"/>
      <c r="I42" s="583">
        <v>24996128</v>
      </c>
      <c r="J42" s="583">
        <v>27578962</v>
      </c>
      <c r="K42" s="583">
        <v>55823830</v>
      </c>
      <c r="L42" s="5"/>
      <c r="M42" s="56"/>
      <c r="N42" s="594"/>
      <c r="O42" s="595"/>
      <c r="P42" s="596"/>
      <c r="Q42" s="53"/>
    </row>
    <row r="43" spans="1:17" ht="18">
      <c r="A43" s="597"/>
      <c r="B43" s="621" t="s">
        <v>1585</v>
      </c>
      <c r="C43" s="666"/>
      <c r="D43" s="706">
        <f t="shared" si="2"/>
        <v>109.57185881712128</v>
      </c>
      <c r="E43" s="701">
        <v>22705165</v>
      </c>
      <c r="F43" s="634">
        <v>74253323</v>
      </c>
      <c r="G43" s="656">
        <v>23080621</v>
      </c>
      <c r="H43" s="634"/>
      <c r="I43" s="583">
        <v>25145033</v>
      </c>
      <c r="J43" s="583">
        <v>27799493</v>
      </c>
      <c r="K43" s="583">
        <v>55644883</v>
      </c>
      <c r="L43" s="5"/>
      <c r="M43" s="56"/>
      <c r="N43" s="594"/>
      <c r="O43" s="595"/>
      <c r="P43" s="596"/>
      <c r="Q43" s="53"/>
    </row>
    <row r="44" spans="1:17" ht="18">
      <c r="A44" s="597"/>
      <c r="B44" s="831" t="s">
        <v>1557</v>
      </c>
      <c r="C44" s="697"/>
      <c r="D44" s="706">
        <f t="shared" si="2"/>
        <v>109.79735192557986</v>
      </c>
      <c r="E44" s="701">
        <v>23085209</v>
      </c>
      <c r="F44" s="634">
        <v>71847064</v>
      </c>
      <c r="G44" s="656">
        <v>23586230</v>
      </c>
      <c r="H44" s="634"/>
      <c r="I44" s="583">
        <v>25321548</v>
      </c>
      <c r="J44" s="583">
        <v>27435749</v>
      </c>
      <c r="K44" s="583">
        <v>56404528</v>
      </c>
      <c r="L44" s="5"/>
      <c r="M44" s="593"/>
      <c r="N44" s="594"/>
      <c r="O44" s="595"/>
      <c r="P44" s="596"/>
      <c r="Q44" s="53"/>
    </row>
    <row r="45" spans="1:17" ht="18.75">
      <c r="A45" s="597"/>
      <c r="B45" s="628" t="s">
        <v>1556</v>
      </c>
      <c r="C45" s="695"/>
      <c r="D45" s="706">
        <f t="shared" si="2"/>
        <v>110.99788415999178</v>
      </c>
      <c r="E45" s="729">
        <v>23339576</v>
      </c>
      <c r="F45" s="636">
        <v>72609038</v>
      </c>
      <c r="G45" s="657">
        <v>23534720</v>
      </c>
      <c r="H45" s="636"/>
      <c r="I45" s="583">
        <v>25601756</v>
      </c>
      <c r="J45" s="583">
        <v>28610084</v>
      </c>
      <c r="K45" s="583">
        <v>55998088</v>
      </c>
      <c r="L45" s="5"/>
      <c r="M45" s="593"/>
      <c r="N45" s="599"/>
      <c r="O45" s="595"/>
      <c r="P45" s="55"/>
      <c r="Q45" s="604"/>
    </row>
    <row r="46" spans="1:17" ht="18">
      <c r="A46" s="597" t="s">
        <v>1529</v>
      </c>
      <c r="B46" s="629" t="s">
        <v>1604</v>
      </c>
      <c r="C46" s="666"/>
      <c r="D46" s="706">
        <f t="shared" si="2"/>
        <v>111.827387764262</v>
      </c>
      <c r="E46" s="729">
        <v>24659156</v>
      </c>
      <c r="F46" s="636">
        <v>69820640</v>
      </c>
      <c r="G46" s="657">
        <v>24192990</v>
      </c>
      <c r="H46" s="636"/>
      <c r="I46" s="583">
        <v>25381880</v>
      </c>
      <c r="J46" s="583">
        <v>27846064</v>
      </c>
      <c r="K46" s="583">
        <v>58005508</v>
      </c>
      <c r="L46" s="5"/>
      <c r="M46" s="593"/>
      <c r="N46" s="594"/>
      <c r="O46" s="595"/>
      <c r="P46" s="55"/>
      <c r="Q46" s="53"/>
    </row>
    <row r="47" spans="1:17" ht="18">
      <c r="A47" s="597" t="s">
        <v>1530</v>
      </c>
      <c r="B47" s="629" t="s">
        <v>1602</v>
      </c>
      <c r="C47" s="697"/>
      <c r="D47" s="706">
        <f t="shared" ref="D47:D67" si="3">SUM(E47/E$6,F47/F$6,G47/G$6,I47/I$6,J47/J$6,K47/K$6)/6*100</f>
        <v>112.02474357315187</v>
      </c>
      <c r="E47" s="700">
        <v>23424849</v>
      </c>
      <c r="F47" s="601">
        <v>72529219</v>
      </c>
      <c r="G47" s="650">
        <v>23866134</v>
      </c>
      <c r="H47" s="635"/>
      <c r="I47" s="583">
        <v>25784515</v>
      </c>
      <c r="J47" s="583">
        <v>28861710</v>
      </c>
      <c r="K47" s="583">
        <v>57297208</v>
      </c>
      <c r="L47" s="5"/>
      <c r="M47" s="593"/>
      <c r="N47" s="594"/>
      <c r="O47" s="595"/>
      <c r="P47" s="596"/>
      <c r="Q47" s="53"/>
    </row>
    <row r="48" spans="1:17" ht="18">
      <c r="A48" s="597" t="s">
        <v>1531</v>
      </c>
      <c r="B48" s="629" t="s">
        <v>1603</v>
      </c>
      <c r="C48" s="666"/>
      <c r="D48" s="706">
        <f t="shared" si="3"/>
        <v>113.97344164256285</v>
      </c>
      <c r="E48" s="729">
        <v>23699382</v>
      </c>
      <c r="F48" s="636">
        <v>75065418</v>
      </c>
      <c r="G48" s="657">
        <v>24135163</v>
      </c>
      <c r="H48" s="636"/>
      <c r="I48" s="583">
        <v>26257927</v>
      </c>
      <c r="J48" s="583">
        <v>29350464</v>
      </c>
      <c r="K48" s="583">
        <v>57946615</v>
      </c>
      <c r="L48" s="5"/>
      <c r="M48" s="56"/>
      <c r="N48" s="594"/>
      <c r="O48" s="595"/>
      <c r="P48" s="596"/>
      <c r="Q48" s="53"/>
    </row>
    <row r="49" spans="1:17" ht="18">
      <c r="A49" s="597" t="s">
        <v>1532</v>
      </c>
      <c r="B49" s="628" t="s">
        <v>1589</v>
      </c>
      <c r="C49" s="697"/>
      <c r="D49" s="706">
        <f t="shared" si="3"/>
        <v>116.2890833283668</v>
      </c>
      <c r="E49" s="701">
        <v>24479092</v>
      </c>
      <c r="F49" s="634">
        <v>81714130</v>
      </c>
      <c r="G49" s="656">
        <v>24953607</v>
      </c>
      <c r="H49" s="634"/>
      <c r="I49" s="583">
        <v>25538524</v>
      </c>
      <c r="J49" s="583">
        <v>28463666</v>
      </c>
      <c r="K49" s="583">
        <v>59446556</v>
      </c>
      <c r="L49" s="5"/>
      <c r="M49" s="593"/>
      <c r="N49" s="594"/>
      <c r="O49" s="595"/>
      <c r="P49" s="596"/>
      <c r="Q49" s="53"/>
    </row>
    <row r="50" spans="1:17" ht="18">
      <c r="A50" s="597" t="s">
        <v>1533</v>
      </c>
      <c r="B50" s="628" t="s">
        <v>1588</v>
      </c>
      <c r="C50" s="699" t="s">
        <v>46</v>
      </c>
      <c r="D50" s="706">
        <f t="shared" si="3"/>
        <v>116.36238993283644</v>
      </c>
      <c r="E50" s="701">
        <v>23996797</v>
      </c>
      <c r="F50" s="634">
        <v>80707547</v>
      </c>
      <c r="G50" s="656">
        <v>24940763</v>
      </c>
      <c r="H50" s="634"/>
      <c r="I50" s="583">
        <v>25730820</v>
      </c>
      <c r="J50" s="583">
        <v>28948020</v>
      </c>
      <c r="K50" s="583">
        <v>60245302</v>
      </c>
      <c r="L50" s="5"/>
      <c r="M50" s="593"/>
      <c r="N50" s="594"/>
      <c r="O50" s="595"/>
      <c r="P50" s="596"/>
      <c r="Q50" s="53"/>
    </row>
    <row r="51" spans="1:17" ht="18">
      <c r="A51" s="597" t="s">
        <v>1534</v>
      </c>
      <c r="B51" s="621" t="s">
        <v>1587</v>
      </c>
      <c r="C51" s="697"/>
      <c r="D51" s="706">
        <f t="shared" si="3"/>
        <v>116.60774746360244</v>
      </c>
      <c r="E51" s="701">
        <v>24092508</v>
      </c>
      <c r="F51" s="634">
        <v>78579550</v>
      </c>
      <c r="G51" s="656">
        <v>24617908</v>
      </c>
      <c r="H51" s="634"/>
      <c r="I51" s="583">
        <v>26560348</v>
      </c>
      <c r="J51" s="583">
        <v>30277798</v>
      </c>
      <c r="K51" s="583">
        <v>58626774</v>
      </c>
      <c r="L51" s="5"/>
      <c r="M51" s="56"/>
      <c r="N51" s="599"/>
      <c r="O51" s="595"/>
      <c r="P51" s="596"/>
      <c r="Q51" s="53"/>
    </row>
    <row r="52" spans="1:17" ht="18">
      <c r="A52" s="597" t="s">
        <v>1535</v>
      </c>
      <c r="B52" s="622" t="s">
        <v>1546</v>
      </c>
      <c r="C52" s="697"/>
      <c r="D52" s="706">
        <f t="shared" si="3"/>
        <v>116.73075967082227</v>
      </c>
      <c r="E52" s="701">
        <v>24836542</v>
      </c>
      <c r="F52" s="634">
        <v>77675360</v>
      </c>
      <c r="G52" s="656">
        <v>24987370</v>
      </c>
      <c r="H52" s="634"/>
      <c r="I52" s="583">
        <v>25799227</v>
      </c>
      <c r="J52" s="583">
        <v>29805556</v>
      </c>
      <c r="K52" s="583">
        <v>59700789</v>
      </c>
      <c r="L52" s="5"/>
      <c r="M52" s="593"/>
      <c r="N52" s="594"/>
      <c r="O52" s="595"/>
      <c r="P52" s="596"/>
      <c r="Q52" s="53"/>
    </row>
    <row r="53" spans="1:17" ht="18">
      <c r="A53" s="605"/>
      <c r="B53" s="831" t="s">
        <v>1639</v>
      </c>
      <c r="C53" s="697"/>
      <c r="D53" s="706">
        <f t="shared" si="3"/>
        <v>116.96211757475083</v>
      </c>
      <c r="E53" s="701">
        <v>23628368</v>
      </c>
      <c r="F53" s="634">
        <v>80911032</v>
      </c>
      <c r="G53" s="656">
        <v>24692936</v>
      </c>
      <c r="H53" s="634"/>
      <c r="I53" s="583">
        <v>26511520</v>
      </c>
      <c r="J53" s="583">
        <v>29781848</v>
      </c>
      <c r="K53" s="583">
        <v>59973424</v>
      </c>
      <c r="L53" s="5"/>
      <c r="M53" s="593"/>
      <c r="N53" s="594"/>
      <c r="O53" s="595"/>
      <c r="P53" s="596"/>
      <c r="Q53" s="53"/>
    </row>
    <row r="54" spans="1:17" ht="18">
      <c r="A54" s="605"/>
      <c r="B54" s="645" t="s">
        <v>1586</v>
      </c>
      <c r="C54" s="697"/>
      <c r="D54" s="706">
        <f t="shared" si="3"/>
        <v>117.01724984526234</v>
      </c>
      <c r="E54" s="701">
        <v>25681785</v>
      </c>
      <c r="F54" s="634">
        <v>75269417</v>
      </c>
      <c r="G54" s="656">
        <v>24842361</v>
      </c>
      <c r="H54" s="634"/>
      <c r="I54" s="583">
        <v>26355281</v>
      </c>
      <c r="J54" s="583">
        <v>30047809</v>
      </c>
      <c r="K54" s="583">
        <v>59024365</v>
      </c>
      <c r="L54" s="5"/>
      <c r="M54" s="593"/>
      <c r="N54" s="594"/>
      <c r="O54" s="595"/>
      <c r="P54" s="596"/>
      <c r="Q54" s="53"/>
    </row>
    <row r="55" spans="1:17" ht="18">
      <c r="A55" s="592"/>
      <c r="B55" s="628" t="s">
        <v>1590</v>
      </c>
      <c r="C55" s="697"/>
      <c r="D55" s="706">
        <f t="shared" si="3"/>
        <v>118.09652576315406</v>
      </c>
      <c r="E55" s="701">
        <v>24978808</v>
      </c>
      <c r="F55" s="634">
        <v>81448175</v>
      </c>
      <c r="G55" s="656">
        <v>25833929</v>
      </c>
      <c r="H55" s="634"/>
      <c r="I55" s="583">
        <v>25748699</v>
      </c>
      <c r="J55" s="583">
        <v>28775616</v>
      </c>
      <c r="K55" s="583">
        <v>60756554</v>
      </c>
      <c r="L55" s="5"/>
      <c r="M55" s="593"/>
      <c r="N55" s="594"/>
      <c r="O55" s="595"/>
      <c r="P55" s="596"/>
      <c r="Q55" s="53"/>
    </row>
    <row r="56" spans="1:17" ht="18">
      <c r="A56" s="592"/>
      <c r="B56" s="628" t="s">
        <v>1536</v>
      </c>
      <c r="C56" s="666"/>
      <c r="D56" s="706">
        <f t="shared" si="3"/>
        <v>118.11907796657988</v>
      </c>
      <c r="E56" s="701">
        <v>25390864</v>
      </c>
      <c r="F56" s="634">
        <v>80976880</v>
      </c>
      <c r="G56" s="656">
        <v>25436512</v>
      </c>
      <c r="H56" s="634"/>
      <c r="I56" s="583">
        <v>25608704</v>
      </c>
      <c r="J56" s="583">
        <v>29179440</v>
      </c>
      <c r="K56" s="583">
        <v>60677456</v>
      </c>
      <c r="L56" s="5"/>
      <c r="M56" s="593"/>
      <c r="N56" s="594"/>
      <c r="O56" s="595"/>
      <c r="P56" s="596"/>
      <c r="Q56" s="53"/>
    </row>
    <row r="57" spans="1:17" ht="18">
      <c r="A57" s="592"/>
      <c r="B57" s="707" t="s">
        <v>1605</v>
      </c>
      <c r="C57" s="669"/>
      <c r="D57" s="706">
        <f t="shared" si="3"/>
        <v>119.03464821868856</v>
      </c>
      <c r="E57" s="701">
        <v>25003011</v>
      </c>
      <c r="F57" s="677">
        <v>82197301</v>
      </c>
      <c r="G57" s="677">
        <v>25437955</v>
      </c>
      <c r="H57" s="677"/>
      <c r="I57" s="678">
        <v>26384071</v>
      </c>
      <c r="J57" s="678">
        <v>29738040</v>
      </c>
      <c r="K57" s="678">
        <v>60590841</v>
      </c>
      <c r="L57" s="5"/>
      <c r="M57" s="593"/>
      <c r="N57" s="594"/>
      <c r="O57" s="595"/>
      <c r="P57" s="596"/>
      <c r="Q57" s="53"/>
    </row>
    <row r="58" spans="1:17" ht="18">
      <c r="A58" s="592"/>
      <c r="B58" s="626" t="s">
        <v>1568</v>
      </c>
      <c r="C58" s="697"/>
      <c r="D58" s="706">
        <f t="shared" si="3"/>
        <v>120.94252943122751</v>
      </c>
      <c r="E58" s="701">
        <v>26465998</v>
      </c>
      <c r="F58" s="634">
        <v>79087302</v>
      </c>
      <c r="G58" s="656">
        <v>25755075</v>
      </c>
      <c r="H58" s="634"/>
      <c r="I58" s="583">
        <v>26912478</v>
      </c>
      <c r="J58" s="583">
        <v>30757560</v>
      </c>
      <c r="K58" s="583">
        <v>61334990</v>
      </c>
      <c r="L58" s="5"/>
      <c r="M58" s="56"/>
      <c r="N58" s="594"/>
      <c r="O58" s="595"/>
      <c r="P58" s="596"/>
      <c r="Q58" s="53"/>
    </row>
    <row r="59" spans="1:17" ht="18">
      <c r="A59" s="592"/>
      <c r="B59" s="1396" t="s">
        <v>1800</v>
      </c>
      <c r="C59" s="1390"/>
      <c r="D59" s="706">
        <f t="shared" si="3"/>
        <v>121.13981209278448</v>
      </c>
      <c r="E59" s="1391">
        <v>23865019</v>
      </c>
      <c r="F59" s="1392">
        <v>77595230</v>
      </c>
      <c r="G59" s="1392">
        <v>24484690</v>
      </c>
      <c r="H59" s="1392"/>
      <c r="I59" s="1393">
        <v>34236010</v>
      </c>
      <c r="J59" s="1393">
        <v>29410755</v>
      </c>
      <c r="K59" s="1393">
        <v>58679968</v>
      </c>
      <c r="L59" s="5"/>
      <c r="M59" s="56"/>
      <c r="N59" s="594"/>
      <c r="O59" s="595"/>
      <c r="P59" s="596"/>
      <c r="Q59" s="53"/>
    </row>
    <row r="60" spans="1:17" ht="18">
      <c r="A60" s="592"/>
      <c r="B60" s="831" t="s">
        <v>1513</v>
      </c>
      <c r="C60" s="694"/>
      <c r="D60" s="706">
        <f t="shared" si="3"/>
        <v>121.15647667531168</v>
      </c>
      <c r="E60" s="701">
        <v>23852172</v>
      </c>
      <c r="F60" s="634">
        <v>77800360</v>
      </c>
      <c r="G60" s="656">
        <v>24450963</v>
      </c>
      <c r="H60" s="634"/>
      <c r="I60" s="583">
        <v>34245347</v>
      </c>
      <c r="J60" s="583">
        <v>29406375</v>
      </c>
      <c r="K60" s="583">
        <v>58673403</v>
      </c>
      <c r="L60" s="5"/>
      <c r="M60" s="593"/>
      <c r="N60" s="594"/>
      <c r="O60" s="595"/>
      <c r="P60" s="596"/>
      <c r="Q60" s="53"/>
    </row>
    <row r="61" spans="1:17" ht="18">
      <c r="A61" s="592"/>
      <c r="B61" s="621" t="s">
        <v>1591</v>
      </c>
      <c r="C61" s="697"/>
      <c r="D61" s="706">
        <f t="shared" si="3"/>
        <v>123.78794896659726</v>
      </c>
      <c r="E61" s="701">
        <v>27056931</v>
      </c>
      <c r="F61" s="634">
        <v>79965258</v>
      </c>
      <c r="G61" s="656">
        <v>26567275</v>
      </c>
      <c r="H61" s="634"/>
      <c r="I61" s="583">
        <v>27609866</v>
      </c>
      <c r="J61" s="583">
        <v>31375618</v>
      </c>
      <c r="K61" s="583">
        <v>63187326</v>
      </c>
      <c r="L61" s="5"/>
      <c r="M61" s="56"/>
      <c r="N61" s="594"/>
      <c r="O61" s="595"/>
      <c r="P61" s="596"/>
      <c r="Q61" s="53"/>
    </row>
    <row r="62" spans="1:17" ht="18">
      <c r="A62" s="592"/>
      <c r="B62" s="637" t="s">
        <v>1594</v>
      </c>
      <c r="C62" s="697"/>
      <c r="D62" s="706">
        <f t="shared" si="3"/>
        <v>123.87021599401933</v>
      </c>
      <c r="E62" s="701">
        <v>27695138</v>
      </c>
      <c r="F62" s="634">
        <v>89171638</v>
      </c>
      <c r="G62" s="656">
        <v>26187653</v>
      </c>
      <c r="H62" s="634"/>
      <c r="I62" s="583">
        <v>25880453</v>
      </c>
      <c r="J62" s="583">
        <v>29967774</v>
      </c>
      <c r="K62" s="583">
        <v>62414575</v>
      </c>
      <c r="L62" s="5"/>
      <c r="M62" s="593"/>
      <c r="N62" s="594"/>
      <c r="O62" s="595"/>
      <c r="P62" s="596"/>
      <c r="Q62" s="53"/>
    </row>
    <row r="63" spans="1:17" ht="18">
      <c r="A63" s="592"/>
      <c r="B63" s="621" t="s">
        <v>1592</v>
      </c>
      <c r="C63" s="697"/>
      <c r="D63" s="706">
        <f t="shared" si="3"/>
        <v>124.93508154842357</v>
      </c>
      <c r="E63" s="701">
        <v>27398117</v>
      </c>
      <c r="F63" s="634">
        <v>80236215</v>
      </c>
      <c r="G63" s="650">
        <v>27244564</v>
      </c>
      <c r="H63" s="635"/>
      <c r="I63" s="583">
        <v>27515368</v>
      </c>
      <c r="J63" s="583">
        <v>31667591</v>
      </c>
      <c r="K63" s="583">
        <v>63641733</v>
      </c>
      <c r="L63" s="5"/>
      <c r="M63" s="593"/>
      <c r="N63" s="594"/>
      <c r="O63" s="595"/>
      <c r="P63" s="596"/>
      <c r="Q63" s="53"/>
    </row>
    <row r="64" spans="1:17" ht="18">
      <c r="A64" s="592"/>
      <c r="B64" s="630" t="s">
        <v>1593</v>
      </c>
      <c r="C64" s="654" t="s">
        <v>46</v>
      </c>
      <c r="D64" s="706">
        <f t="shared" si="3"/>
        <v>125.61379985076708</v>
      </c>
      <c r="E64" s="701">
        <v>27523336</v>
      </c>
      <c r="F64" s="634">
        <v>82215252</v>
      </c>
      <c r="G64" s="650">
        <v>26711964</v>
      </c>
      <c r="H64" s="635"/>
      <c r="I64" s="583">
        <v>28011325</v>
      </c>
      <c r="J64" s="583">
        <v>31982233</v>
      </c>
      <c r="K64" s="583">
        <v>63442992</v>
      </c>
      <c r="L64" s="5"/>
      <c r="M64" s="593"/>
      <c r="N64" s="594"/>
      <c r="O64" s="595"/>
      <c r="P64" s="596"/>
      <c r="Q64" s="53"/>
    </row>
    <row r="65" spans="1:17" ht="18">
      <c r="A65" s="592"/>
      <c r="B65" s="621" t="s">
        <v>1596</v>
      </c>
      <c r="C65" s="697"/>
      <c r="D65" s="706">
        <f t="shared" si="3"/>
        <v>126.42398177066173</v>
      </c>
      <c r="E65" s="701">
        <v>25003753</v>
      </c>
      <c r="F65" s="634">
        <v>91719090</v>
      </c>
      <c r="G65" s="656">
        <v>26875488</v>
      </c>
      <c r="H65" s="634"/>
      <c r="I65" s="583">
        <v>28416094</v>
      </c>
      <c r="J65" s="583">
        <v>31627225</v>
      </c>
      <c r="K65" s="583">
        <v>64009357</v>
      </c>
      <c r="L65" s="5"/>
      <c r="M65" s="593"/>
      <c r="N65" s="594"/>
      <c r="O65" s="595"/>
      <c r="P65" s="596"/>
      <c r="Q65" s="53"/>
    </row>
    <row r="66" spans="1:17" ht="18">
      <c r="A66" s="592"/>
      <c r="B66" s="831" t="s">
        <v>1749</v>
      </c>
      <c r="C66" s="699" t="s">
        <v>46</v>
      </c>
      <c r="D66" s="706">
        <f t="shared" si="3"/>
        <v>126.77425904054978</v>
      </c>
      <c r="E66" s="701">
        <v>26851122</v>
      </c>
      <c r="F66" s="634">
        <v>90802425</v>
      </c>
      <c r="G66" s="650">
        <v>28089211</v>
      </c>
      <c r="H66" s="635"/>
      <c r="I66" s="648">
        <v>24580852</v>
      </c>
      <c r="J66" s="583">
        <v>31827490</v>
      </c>
      <c r="K66" s="583">
        <v>66644195</v>
      </c>
      <c r="L66" s="5"/>
      <c r="M66" s="593"/>
      <c r="N66" s="594"/>
      <c r="O66" s="595"/>
      <c r="P66" s="596"/>
      <c r="Q66" s="53"/>
    </row>
    <row r="67" spans="1:17" ht="18">
      <c r="A67" s="592"/>
      <c r="B67" s="621" t="s">
        <v>1595</v>
      </c>
      <c r="C67" s="697"/>
      <c r="D67" s="706">
        <f t="shared" si="3"/>
        <v>127.12643614346631</v>
      </c>
      <c r="E67" s="701">
        <v>28035880</v>
      </c>
      <c r="F67" s="709">
        <v>81453180</v>
      </c>
      <c r="G67" s="713">
        <v>27129184</v>
      </c>
      <c r="H67" s="713"/>
      <c r="I67" s="714">
        <v>28288800</v>
      </c>
      <c r="J67" s="714">
        <v>32611012</v>
      </c>
      <c r="K67" s="714">
        <v>64546204</v>
      </c>
      <c r="L67" s="5"/>
      <c r="M67" s="593"/>
      <c r="N67" s="594"/>
      <c r="O67" s="595"/>
      <c r="P67" s="596"/>
      <c r="Q67" s="53"/>
    </row>
    <row r="68" spans="1:17" ht="18">
      <c r="A68" s="592"/>
      <c r="B68" s="626" t="s">
        <v>1579</v>
      </c>
      <c r="C68" s="711"/>
      <c r="D68" s="706">
        <f t="shared" ref="D68:D73" si="4">SUM(E68/E$6,F68/F$6,G68/G$6,I68/I$6,J68/J$6,K68/K$6)/6*100</f>
        <v>128.01837135844301</v>
      </c>
      <c r="E68" s="701">
        <v>28130802</v>
      </c>
      <c r="F68" s="634">
        <v>83413846</v>
      </c>
      <c r="G68" s="656">
        <v>27135351</v>
      </c>
      <c r="H68" s="634"/>
      <c r="I68" s="583">
        <v>28707784</v>
      </c>
      <c r="J68" s="583">
        <v>32559637</v>
      </c>
      <c r="K68" s="583">
        <v>64682998</v>
      </c>
      <c r="L68" s="5"/>
      <c r="M68" s="603"/>
      <c r="N68" s="606"/>
      <c r="O68" s="595"/>
      <c r="P68" s="596"/>
      <c r="Q68" s="53"/>
    </row>
    <row r="69" spans="1:17" ht="18">
      <c r="A69" s="592"/>
      <c r="B69" s="626" t="s">
        <v>1597</v>
      </c>
      <c r="C69" s="667"/>
      <c r="D69" s="706">
        <f t="shared" si="4"/>
        <v>154.33875535280873</v>
      </c>
      <c r="E69" s="701">
        <v>28811693</v>
      </c>
      <c r="F69" s="634">
        <v>124599400</v>
      </c>
      <c r="G69" s="656">
        <v>33875159</v>
      </c>
      <c r="H69" s="632"/>
      <c r="I69" s="583">
        <v>34262259</v>
      </c>
      <c r="J69" s="583">
        <v>35483592</v>
      </c>
      <c r="K69" s="583">
        <v>77091437</v>
      </c>
      <c r="L69" s="5"/>
      <c r="M69" s="593"/>
      <c r="N69" s="594"/>
      <c r="O69" s="595"/>
      <c r="P69" s="596"/>
      <c r="Q69" s="53"/>
    </row>
    <row r="70" spans="1:17" ht="18">
      <c r="A70" s="592"/>
      <c r="B70" s="628" t="s">
        <v>1560</v>
      </c>
      <c r="C70" s="699" t="s">
        <v>46</v>
      </c>
      <c r="D70" s="706">
        <f t="shared" si="4"/>
        <v>157.09838007064283</v>
      </c>
      <c r="E70" s="701">
        <v>29841499</v>
      </c>
      <c r="F70" s="634">
        <v>124326855</v>
      </c>
      <c r="G70" s="656">
        <v>35177002</v>
      </c>
      <c r="H70" s="634"/>
      <c r="I70" s="583">
        <v>33886545</v>
      </c>
      <c r="J70" s="583">
        <v>35652540</v>
      </c>
      <c r="K70" s="583">
        <v>80671989</v>
      </c>
      <c r="L70" s="5"/>
      <c r="M70" s="593"/>
      <c r="N70" s="594"/>
      <c r="O70" s="595"/>
      <c r="P70" s="596"/>
      <c r="Q70" s="53"/>
    </row>
    <row r="71" spans="1:17" ht="18">
      <c r="A71" s="592"/>
      <c r="B71" s="834" t="s">
        <v>1598</v>
      </c>
      <c r="C71" s="698"/>
      <c r="D71" s="706">
        <f t="shared" si="4"/>
        <v>158.81801576276737</v>
      </c>
      <c r="E71" s="701">
        <v>30530732</v>
      </c>
      <c r="F71" s="634">
        <v>125888449</v>
      </c>
      <c r="G71" s="656">
        <v>34578420</v>
      </c>
      <c r="H71" s="634"/>
      <c r="I71" s="648">
        <v>34364578</v>
      </c>
      <c r="J71" s="648">
        <v>37259032</v>
      </c>
      <c r="K71" s="648">
        <v>80221162</v>
      </c>
      <c r="L71" s="5"/>
      <c r="M71" s="593"/>
      <c r="N71" s="594"/>
      <c r="O71" s="595"/>
      <c r="P71" s="596"/>
      <c r="Q71" s="53"/>
    </row>
    <row r="72" spans="1:17" ht="18">
      <c r="A72" s="592"/>
      <c r="B72" s="628" t="s">
        <v>1559</v>
      </c>
      <c r="C72" s="654" t="s">
        <v>46</v>
      </c>
      <c r="D72" s="706">
        <f t="shared" si="4"/>
        <v>161.74622642967702</v>
      </c>
      <c r="E72" s="701">
        <v>32456331</v>
      </c>
      <c r="F72" s="634">
        <v>123860181</v>
      </c>
      <c r="G72" s="656">
        <v>36998415</v>
      </c>
      <c r="H72" s="634"/>
      <c r="I72" s="583">
        <v>33710545</v>
      </c>
      <c r="J72" s="583">
        <v>36370790</v>
      </c>
      <c r="K72" s="583">
        <v>83541373</v>
      </c>
      <c r="L72" s="5"/>
      <c r="M72" s="56"/>
      <c r="N72" s="599"/>
      <c r="O72" s="595"/>
      <c r="P72" s="596"/>
      <c r="Q72" s="53"/>
    </row>
    <row r="73" spans="1:17" ht="18">
      <c r="A73" s="592"/>
      <c r="B73" s="831" t="s">
        <v>1601</v>
      </c>
      <c r="C73" s="654" t="s">
        <v>46</v>
      </c>
      <c r="D73" s="706">
        <f t="shared" si="4"/>
        <v>175.8197383888569</v>
      </c>
      <c r="E73" s="701">
        <v>36113065</v>
      </c>
      <c r="F73" s="634">
        <v>118488777</v>
      </c>
      <c r="G73" s="656">
        <v>37214437</v>
      </c>
      <c r="H73" s="634"/>
      <c r="I73" s="583">
        <v>40691551</v>
      </c>
      <c r="J73" s="583">
        <v>44515781</v>
      </c>
      <c r="K73" s="583">
        <v>89543762</v>
      </c>
      <c r="L73" s="5"/>
      <c r="M73" s="593"/>
      <c r="N73" s="594"/>
      <c r="O73" s="595"/>
      <c r="P73" s="596"/>
      <c r="Q73" s="53"/>
    </row>
    <row r="74" spans="1:17" ht="18">
      <c r="A74" s="592"/>
      <c r="B74" s="649" t="s">
        <v>1561</v>
      </c>
      <c r="C74" s="724"/>
      <c r="D74" s="719"/>
      <c r="E74" s="701">
        <v>22720782</v>
      </c>
      <c r="F74" s="634">
        <v>70074024</v>
      </c>
      <c r="G74" s="656">
        <v>23464783</v>
      </c>
      <c r="H74" s="634"/>
      <c r="I74" s="583">
        <v>25122699</v>
      </c>
      <c r="J74" s="583">
        <v>27475633</v>
      </c>
      <c r="K74" s="609" t="s">
        <v>641</v>
      </c>
      <c r="L74" s="5"/>
      <c r="M74" s="593"/>
      <c r="N74" s="594"/>
      <c r="O74" s="595"/>
      <c r="P74" s="55"/>
      <c r="Q74" s="53"/>
    </row>
    <row r="75" spans="1:17" ht="18">
      <c r="A75" s="592"/>
      <c r="B75" s="649" t="s">
        <v>1599</v>
      </c>
      <c r="C75" s="718"/>
      <c r="D75" s="719"/>
      <c r="E75" s="730" t="s">
        <v>641</v>
      </c>
      <c r="F75" s="635">
        <v>95691188</v>
      </c>
      <c r="G75" s="655" t="s">
        <v>641</v>
      </c>
      <c r="H75" s="635"/>
      <c r="I75" s="635">
        <v>29105544</v>
      </c>
      <c r="J75" s="633" t="s">
        <v>641</v>
      </c>
      <c r="K75" s="635">
        <v>68255848</v>
      </c>
      <c r="L75" s="638"/>
      <c r="M75" s="607"/>
      <c r="N75" s="586"/>
      <c r="O75" s="595"/>
      <c r="P75" s="608"/>
      <c r="Q75" s="53"/>
    </row>
    <row r="76" spans="1:17" ht="18">
      <c r="A76" s="592"/>
      <c r="B76" s="629" t="s">
        <v>1569</v>
      </c>
      <c r="C76" s="725"/>
      <c r="D76" s="731"/>
      <c r="E76" s="705" t="s">
        <v>1600</v>
      </c>
      <c r="F76" s="609" t="s">
        <v>1600</v>
      </c>
      <c r="G76" s="668" t="s">
        <v>1600</v>
      </c>
      <c r="H76" s="663"/>
      <c r="I76" s="609" t="s">
        <v>1600</v>
      </c>
      <c r="J76" s="609" t="s">
        <v>1600</v>
      </c>
      <c r="K76" s="609" t="s">
        <v>1600</v>
      </c>
      <c r="L76" s="49"/>
      <c r="M76" s="607"/>
      <c r="N76" s="586"/>
      <c r="O76" s="595"/>
      <c r="P76" s="608"/>
      <c r="Q76" s="53"/>
    </row>
    <row r="77" spans="1:17" ht="18">
      <c r="A77" s="592"/>
      <c r="B77" s="627" t="s">
        <v>1644</v>
      </c>
      <c r="C77" s="612"/>
      <c r="D77" s="612"/>
      <c r="E77" s="57"/>
      <c r="F77" s="57"/>
      <c r="G77" s="57"/>
      <c r="H77" s="58"/>
      <c r="I77" s="58"/>
      <c r="J77" s="58"/>
      <c r="K77" s="58"/>
      <c r="L77" s="49"/>
      <c r="M77" s="593"/>
      <c r="N77" s="594"/>
      <c r="O77" s="595"/>
      <c r="P77" s="610"/>
      <c r="Q77" s="611"/>
    </row>
    <row r="78" spans="1:17" ht="18">
      <c r="A78" s="592"/>
      <c r="B78" s="64" t="s">
        <v>1647</v>
      </c>
      <c r="C78" s="612"/>
      <c r="D78" s="612"/>
      <c r="E78" s="57"/>
      <c r="F78" s="57"/>
      <c r="G78" s="57"/>
      <c r="H78" s="58"/>
      <c r="I78" s="58"/>
      <c r="J78" s="58"/>
      <c r="K78" s="58"/>
      <c r="L78" s="49"/>
      <c r="M78" s="593"/>
      <c r="N78" s="594"/>
      <c r="O78" s="595"/>
      <c r="P78" s="610"/>
      <c r="Q78" s="611"/>
    </row>
    <row r="79" spans="1:17" ht="18">
      <c r="A79" s="592"/>
      <c r="B79" s="627" t="s">
        <v>1645</v>
      </c>
      <c r="C79" s="612"/>
      <c r="D79" s="612"/>
      <c r="E79" s="57"/>
      <c r="F79" s="57"/>
      <c r="G79" s="57"/>
      <c r="H79" s="58"/>
      <c r="I79" s="58"/>
      <c r="J79" s="58"/>
      <c r="K79" s="58"/>
      <c r="L79" s="49"/>
      <c r="M79" s="593"/>
      <c r="N79" s="594"/>
      <c r="O79" s="595"/>
      <c r="P79" s="610"/>
      <c r="Q79" s="611"/>
    </row>
    <row r="82" spans="2:11" ht="15" customHeight="1">
      <c r="B82" s="618" t="s">
        <v>1565</v>
      </c>
      <c r="C82" s="623"/>
      <c r="D82" s="616" t="s">
        <v>1537</v>
      </c>
      <c r="E82" s="686" t="s">
        <v>1617</v>
      </c>
      <c r="F82" s="686" t="s">
        <v>1629</v>
      </c>
      <c r="G82" s="686" t="s">
        <v>1632</v>
      </c>
      <c r="H82" s="686" t="s">
        <v>1635</v>
      </c>
      <c r="I82" s="660"/>
      <c r="J82" s="660"/>
      <c r="K82" s="660"/>
    </row>
    <row r="83" spans="2:11" ht="45">
      <c r="B83" s="3140" t="s">
        <v>1743</v>
      </c>
      <c r="C83" s="624"/>
      <c r="D83" s="617" t="s">
        <v>1626</v>
      </c>
      <c r="E83" s="664" t="s">
        <v>1638</v>
      </c>
      <c r="F83" s="664" t="s">
        <v>1630</v>
      </c>
      <c r="G83" s="664" t="s">
        <v>1633</v>
      </c>
      <c r="H83" s="664" t="s">
        <v>1636</v>
      </c>
      <c r="I83" s="661"/>
      <c r="J83" s="661"/>
      <c r="K83" s="661"/>
    </row>
    <row r="84" spans="2:11" ht="15" customHeight="1">
      <c r="B84" s="3141"/>
      <c r="C84" s="624"/>
      <c r="D84" s="617" t="s">
        <v>1545</v>
      </c>
      <c r="E84" s="615" t="s">
        <v>1538</v>
      </c>
      <c r="F84" s="615" t="s">
        <v>1538</v>
      </c>
      <c r="G84" s="615" t="s">
        <v>1538</v>
      </c>
      <c r="H84" s="615" t="s">
        <v>1538</v>
      </c>
      <c r="I84" s="662"/>
      <c r="J84" s="662"/>
      <c r="K84" s="662"/>
    </row>
    <row r="85" spans="2:11" ht="14.25" customHeight="1">
      <c r="B85" s="659" t="s">
        <v>1628</v>
      </c>
      <c r="C85" s="689"/>
      <c r="D85" s="685" t="s">
        <v>1540</v>
      </c>
      <c r="E85" s="652" t="s">
        <v>1627</v>
      </c>
      <c r="F85" s="652" t="s">
        <v>1631</v>
      </c>
      <c r="G85" s="682" t="s">
        <v>1634</v>
      </c>
      <c r="H85" s="682" t="s">
        <v>1637</v>
      </c>
    </row>
    <row r="86" spans="2:11" ht="17.25" hidden="1">
      <c r="B86" s="659"/>
      <c r="C86" s="624"/>
      <c r="D86" s="1">
        <v>100</v>
      </c>
      <c r="E86" s="681">
        <f>MIN(E87:E155)</f>
        <v>150627544</v>
      </c>
      <c r="F86" s="681">
        <f>MIN(F87:F155)</f>
        <v>116090808</v>
      </c>
      <c r="G86" s="681">
        <f>MIN(G87:G155)</f>
        <v>107039399</v>
      </c>
      <c r="H86" s="681">
        <f>MIN(H87:H155)</f>
        <v>155382738</v>
      </c>
    </row>
    <row r="87" spans="2:11" ht="17.25">
      <c r="B87" s="52" t="s">
        <v>1608</v>
      </c>
      <c r="C87" s="640"/>
      <c r="D87" s="684">
        <f t="shared" ref="D87:D123" si="5">SUM(E87/E$86,F87/F$86,G87/G$86,H87/H$86)/4*100</f>
        <v>162.38664993274466</v>
      </c>
      <c r="E87" s="641">
        <v>243568446</v>
      </c>
      <c r="F87" s="641">
        <v>184389200</v>
      </c>
      <c r="G87" s="679">
        <v>175104080</v>
      </c>
      <c r="H87" s="679">
        <v>257040080</v>
      </c>
    </row>
    <row r="88" spans="2:11" ht="17.25">
      <c r="B88" s="673" t="s">
        <v>1643</v>
      </c>
      <c r="C88" s="693"/>
      <c r="D88" s="706">
        <f t="shared" si="5"/>
        <v>100.05566935153038</v>
      </c>
      <c r="E88" s="700">
        <v>150627544</v>
      </c>
      <c r="F88" s="583">
        <v>116349316</v>
      </c>
      <c r="G88" s="583">
        <v>107039399</v>
      </c>
      <c r="H88" s="583">
        <v>155382738</v>
      </c>
    </row>
    <row r="89" spans="2:11" ht="17.25">
      <c r="B89" s="673" t="s">
        <v>1641</v>
      </c>
      <c r="C89" s="693"/>
      <c r="D89" s="706">
        <f t="shared" si="5"/>
        <v>100.09863679448306</v>
      </c>
      <c r="E89" s="701">
        <v>150777093</v>
      </c>
      <c r="F89" s="634">
        <v>116243444</v>
      </c>
      <c r="G89" s="634">
        <v>107126805</v>
      </c>
      <c r="H89" s="690">
        <v>155510347</v>
      </c>
    </row>
    <row r="90" spans="2:11" ht="17.25">
      <c r="B90" s="673" t="s">
        <v>1642</v>
      </c>
      <c r="C90" s="715"/>
      <c r="D90" s="706">
        <f t="shared" si="5"/>
        <v>100.1462245293868</v>
      </c>
      <c r="E90" s="701">
        <v>151091076</v>
      </c>
      <c r="F90" s="634">
        <v>116090808</v>
      </c>
      <c r="G90" s="634">
        <v>107213308</v>
      </c>
      <c r="H90" s="690">
        <v>155560950</v>
      </c>
    </row>
    <row r="91" spans="2:11" ht="17.25">
      <c r="B91" s="673" t="s">
        <v>1577</v>
      </c>
      <c r="C91" s="612"/>
      <c r="D91" s="706">
        <f t="shared" si="5"/>
        <v>100.38896870311933</v>
      </c>
      <c r="E91" s="701">
        <v>151690983</v>
      </c>
      <c r="F91" s="634">
        <v>116452328</v>
      </c>
      <c r="G91" s="634">
        <v>107400789</v>
      </c>
      <c r="H91" s="690">
        <v>155694800</v>
      </c>
    </row>
    <row r="92" spans="2:11" ht="17.25">
      <c r="B92" s="628" t="s">
        <v>1578</v>
      </c>
      <c r="C92" s="666"/>
      <c r="D92" s="706">
        <f t="shared" si="5"/>
        <v>100.44987434466263</v>
      </c>
      <c r="E92" s="701">
        <v>151867224</v>
      </c>
      <c r="F92" s="634">
        <v>116505875</v>
      </c>
      <c r="G92" s="634">
        <v>107445761</v>
      </c>
      <c r="H92" s="690">
        <v>155754589</v>
      </c>
    </row>
    <row r="93" spans="2:11" ht="17.25">
      <c r="B93" s="651" t="s">
        <v>1520</v>
      </c>
      <c r="C93" s="654"/>
      <c r="D93" s="706">
        <f t="shared" si="5"/>
        <v>101.66288589680622</v>
      </c>
      <c r="E93" s="701">
        <v>153303507</v>
      </c>
      <c r="F93" s="634">
        <v>119254076</v>
      </c>
      <c r="G93" s="634">
        <v>108185096</v>
      </c>
      <c r="H93" s="690">
        <v>157060604</v>
      </c>
    </row>
    <row r="94" spans="2:11" ht="17.25">
      <c r="B94" s="832" t="s">
        <v>1553</v>
      </c>
      <c r="C94" s="654" t="s">
        <v>46</v>
      </c>
      <c r="D94" s="706">
        <f t="shared" si="5"/>
        <v>102.68553439732482</v>
      </c>
      <c r="E94" s="701">
        <v>157647263</v>
      </c>
      <c r="F94" s="634">
        <v>119848083</v>
      </c>
      <c r="G94" s="634">
        <v>108344006</v>
      </c>
      <c r="H94" s="690">
        <v>157910062</v>
      </c>
    </row>
    <row r="95" spans="2:11" ht="17.25">
      <c r="B95" s="630" t="s">
        <v>1551</v>
      </c>
      <c r="C95" s="654" t="s">
        <v>46</v>
      </c>
      <c r="D95" s="706">
        <f t="shared" si="5"/>
        <v>103.09117981117721</v>
      </c>
      <c r="E95" s="701">
        <v>154239743</v>
      </c>
      <c r="F95" s="634">
        <v>118334498</v>
      </c>
      <c r="G95" s="634">
        <v>109902899</v>
      </c>
      <c r="H95" s="690">
        <v>163709285</v>
      </c>
    </row>
    <row r="96" spans="2:11" ht="17.25">
      <c r="B96" s="630" t="s">
        <v>1552</v>
      </c>
      <c r="C96" s="654" t="s">
        <v>46</v>
      </c>
      <c r="D96" s="706">
        <f t="shared" si="5"/>
        <v>103.16634783218352</v>
      </c>
      <c r="E96" s="701">
        <v>153713436</v>
      </c>
      <c r="F96" s="634">
        <v>120233703</v>
      </c>
      <c r="G96" s="634">
        <v>109412800</v>
      </c>
      <c r="H96" s="690">
        <v>162888840</v>
      </c>
    </row>
    <row r="97" spans="2:8" ht="17.25">
      <c r="B97" s="630" t="s">
        <v>1549</v>
      </c>
      <c r="C97" s="699" t="s">
        <v>46</v>
      </c>
      <c r="D97" s="706">
        <f t="shared" si="5"/>
        <v>104.60299604125431</v>
      </c>
      <c r="E97" s="701">
        <v>158952276</v>
      </c>
      <c r="F97" s="634">
        <v>124126347</v>
      </c>
      <c r="G97" s="634">
        <v>110343975</v>
      </c>
      <c r="H97" s="690">
        <v>159851953</v>
      </c>
    </row>
    <row r="98" spans="2:8" ht="17.25">
      <c r="B98" s="628" t="s">
        <v>1526</v>
      </c>
      <c r="C98" s="654" t="s">
        <v>46</v>
      </c>
      <c r="D98" s="706">
        <f t="shared" si="5"/>
        <v>105.4811588618068</v>
      </c>
      <c r="E98" s="701">
        <v>161101872</v>
      </c>
      <c r="F98" s="634">
        <v>126663458</v>
      </c>
      <c r="G98" s="634">
        <v>110225473</v>
      </c>
      <c r="H98" s="690">
        <v>159868754</v>
      </c>
    </row>
    <row r="99" spans="2:8" ht="17.25">
      <c r="B99" s="628" t="s">
        <v>1550</v>
      </c>
      <c r="C99" s="666"/>
      <c r="D99" s="706">
        <f t="shared" si="5"/>
        <v>105.61440877801513</v>
      </c>
      <c r="E99" s="701">
        <v>160385778</v>
      </c>
      <c r="F99" s="634">
        <v>126207808</v>
      </c>
      <c r="G99" s="634">
        <v>111549742</v>
      </c>
      <c r="H99" s="690">
        <v>160123150</v>
      </c>
    </row>
    <row r="100" spans="2:8" ht="17.25">
      <c r="B100" s="628" t="s">
        <v>1580</v>
      </c>
      <c r="C100" s="654" t="s">
        <v>46</v>
      </c>
      <c r="D100" s="706">
        <f t="shared" si="5"/>
        <v>106.16755286745891</v>
      </c>
      <c r="E100" s="701">
        <v>160298734</v>
      </c>
      <c r="F100" s="634">
        <v>124486694</v>
      </c>
      <c r="G100" s="634">
        <v>112181482</v>
      </c>
      <c r="H100" s="690">
        <v>165037484</v>
      </c>
    </row>
    <row r="101" spans="2:8" ht="17.25">
      <c r="B101" s="630" t="s">
        <v>1528</v>
      </c>
      <c r="C101" s="654" t="s">
        <v>46</v>
      </c>
      <c r="D101" s="706">
        <f t="shared" si="5"/>
        <v>107.51232285064955</v>
      </c>
      <c r="E101" s="701">
        <v>161428354</v>
      </c>
      <c r="F101" s="634">
        <v>130192397</v>
      </c>
      <c r="G101" s="634">
        <v>113900221</v>
      </c>
      <c r="H101" s="690">
        <v>162098526</v>
      </c>
    </row>
    <row r="102" spans="2:8" ht="17.25">
      <c r="B102" s="628" t="s">
        <v>1583</v>
      </c>
      <c r="C102" s="654" t="s">
        <v>46</v>
      </c>
      <c r="D102" s="706">
        <f t="shared" si="5"/>
        <v>110.18994269588676</v>
      </c>
      <c r="E102" s="701">
        <v>164136530</v>
      </c>
      <c r="F102" s="634">
        <v>132933026</v>
      </c>
      <c r="G102" s="634">
        <v>116044102</v>
      </c>
      <c r="H102" s="690">
        <v>169166728</v>
      </c>
    </row>
    <row r="103" spans="2:8" ht="17.25">
      <c r="B103" s="628" t="s">
        <v>1556</v>
      </c>
      <c r="C103" s="695"/>
      <c r="D103" s="706">
        <f t="shared" si="5"/>
        <v>113.42260244077032</v>
      </c>
      <c r="E103" s="701">
        <v>167909042</v>
      </c>
      <c r="F103" s="634">
        <v>141474012</v>
      </c>
      <c r="G103" s="634">
        <v>120674792</v>
      </c>
      <c r="H103" s="690">
        <v>167213248</v>
      </c>
    </row>
    <row r="104" spans="2:8" ht="17.25">
      <c r="B104" s="628" t="s">
        <v>1554</v>
      </c>
      <c r="C104" s="695"/>
      <c r="D104" s="706">
        <f t="shared" si="5"/>
        <v>114.96358018655886</v>
      </c>
      <c r="E104" s="701">
        <v>167178516</v>
      </c>
      <c r="F104" s="634">
        <v>147478746</v>
      </c>
      <c r="G104" s="634">
        <v>123160275</v>
      </c>
      <c r="H104" s="690">
        <v>165899374</v>
      </c>
    </row>
    <row r="105" spans="2:8" ht="17.25">
      <c r="B105" s="628" t="s">
        <v>1563</v>
      </c>
      <c r="C105" s="666"/>
      <c r="D105" s="706">
        <f t="shared" si="5"/>
        <v>115.61243942479888</v>
      </c>
      <c r="E105" s="701">
        <v>170197350</v>
      </c>
      <c r="F105" s="634">
        <v>144628460</v>
      </c>
      <c r="G105" s="634">
        <v>122914676</v>
      </c>
      <c r="H105" s="690">
        <v>170989610</v>
      </c>
    </row>
    <row r="106" spans="2:8" ht="17.25">
      <c r="B106" s="628" t="s">
        <v>1536</v>
      </c>
      <c r="C106" s="666"/>
      <c r="D106" s="706">
        <f>SUM(E106/E$86,F106/F$86,G106/G$86,H106/H$86)/4*100</f>
        <v>121.22802367630786</v>
      </c>
      <c r="E106" s="701">
        <v>175637744</v>
      </c>
      <c r="F106" s="634">
        <v>146398256</v>
      </c>
      <c r="G106" s="634">
        <v>130638912</v>
      </c>
      <c r="H106" s="690">
        <v>186698448</v>
      </c>
    </row>
    <row r="107" spans="2:8" ht="17.25">
      <c r="B107" s="1397" t="s">
        <v>1800</v>
      </c>
      <c r="C107" s="697"/>
      <c r="D107" s="706">
        <f>SUM(E107/E$86,F107/F$86,G107/G$86,H107/H$86)/4*100</f>
        <v>123.10205986861898</v>
      </c>
      <c r="E107" s="701">
        <v>177699122</v>
      </c>
      <c r="F107" s="634">
        <v>149061847</v>
      </c>
      <c r="G107" s="634">
        <v>133329513</v>
      </c>
      <c r="H107" s="690">
        <v>188748817</v>
      </c>
    </row>
    <row r="108" spans="2:8" ht="17.25">
      <c r="B108" s="831" t="s">
        <v>1513</v>
      </c>
      <c r="C108" s="669"/>
      <c r="D108" s="706">
        <f>SUM(E108/E$86,F108/F$86,G108/G$86,H108/H$86)/4*100</f>
        <v>123.20915606587948</v>
      </c>
      <c r="E108" s="701">
        <v>177811495</v>
      </c>
      <c r="F108" s="634">
        <v>149266464</v>
      </c>
      <c r="G108" s="634">
        <v>133434692</v>
      </c>
      <c r="H108" s="690">
        <v>188871979</v>
      </c>
    </row>
    <row r="109" spans="2:8" ht="17.25">
      <c r="B109" s="622" t="s">
        <v>1546</v>
      </c>
      <c r="C109" s="666"/>
      <c r="D109" s="706">
        <f>SUM(E109/E$86,F109/F$86,G109/G$86,H109/H$86)/4*100</f>
        <v>124.46272952893933</v>
      </c>
      <c r="E109" s="701">
        <v>176619973</v>
      </c>
      <c r="F109" s="634">
        <v>158843595</v>
      </c>
      <c r="G109" s="634">
        <v>132325676</v>
      </c>
      <c r="H109" s="690">
        <v>186683763</v>
      </c>
    </row>
    <row r="110" spans="2:8" ht="17.25">
      <c r="B110" s="1398" t="s">
        <v>1594</v>
      </c>
      <c r="C110" s="1394"/>
      <c r="D110" s="706">
        <f>SUM(E110/E$86,F110/F$86,G110/G$86,H110/H$86)/4*100</f>
        <v>128.37063477677398</v>
      </c>
      <c r="E110" s="1391">
        <v>186421382</v>
      </c>
      <c r="F110" s="1392">
        <v>155537940</v>
      </c>
      <c r="G110" s="1392">
        <v>139034969</v>
      </c>
      <c r="H110" s="1395">
        <v>195546772</v>
      </c>
    </row>
    <row r="111" spans="2:8" ht="17.25">
      <c r="B111" s="833" t="s">
        <v>1555</v>
      </c>
      <c r="C111" s="654" t="s">
        <v>46</v>
      </c>
      <c r="D111" s="706">
        <f t="shared" si="5"/>
        <v>130.23404065867453</v>
      </c>
      <c r="E111" s="701">
        <v>185333610</v>
      </c>
      <c r="F111" s="634">
        <v>161299916</v>
      </c>
      <c r="G111" s="634">
        <v>142696828</v>
      </c>
      <c r="H111" s="690">
        <v>195222659</v>
      </c>
    </row>
    <row r="112" spans="2:8" ht="17.25">
      <c r="B112" s="628" t="s">
        <v>1590</v>
      </c>
      <c r="C112" s="666"/>
      <c r="D112" s="706">
        <f t="shared" si="5"/>
        <v>131.07364287463619</v>
      </c>
      <c r="E112" s="701">
        <v>189040520</v>
      </c>
      <c r="F112" s="634">
        <v>159823206</v>
      </c>
      <c r="G112" s="634">
        <v>142191868</v>
      </c>
      <c r="H112" s="690">
        <v>199326648</v>
      </c>
    </row>
    <row r="113" spans="2:8" ht="17.25">
      <c r="B113" s="831" t="s">
        <v>1750</v>
      </c>
      <c r="C113" s="654" t="s">
        <v>46</v>
      </c>
      <c r="D113" s="706">
        <f t="shared" si="5"/>
        <v>140.55797060918042</v>
      </c>
      <c r="E113" s="701">
        <v>202126029</v>
      </c>
      <c r="F113" s="634">
        <v>171634046</v>
      </c>
      <c r="G113" s="634">
        <v>153573927</v>
      </c>
      <c r="H113" s="690">
        <v>212445093</v>
      </c>
    </row>
    <row r="114" spans="2:8" ht="17.25">
      <c r="B114" s="628" t="s">
        <v>1582</v>
      </c>
      <c r="C114" s="666"/>
      <c r="D114" s="706">
        <f t="shared" si="5"/>
        <v>142.8509985497534</v>
      </c>
      <c r="E114" s="701">
        <v>197293500</v>
      </c>
      <c r="F114" s="634">
        <v>184009698</v>
      </c>
      <c r="G114" s="634">
        <v>161127331</v>
      </c>
      <c r="H114" s="690">
        <v>204152934</v>
      </c>
    </row>
    <row r="115" spans="2:8" ht="17.25">
      <c r="B115" s="637" t="s">
        <v>1589</v>
      </c>
      <c r="C115" s="666"/>
      <c r="D115" s="706">
        <f t="shared" si="5"/>
        <v>145.54279182607493</v>
      </c>
      <c r="E115" s="701">
        <v>210185686</v>
      </c>
      <c r="F115" s="634">
        <v>176389401</v>
      </c>
      <c r="G115" s="634">
        <v>157718789</v>
      </c>
      <c r="H115" s="690">
        <v>222731510</v>
      </c>
    </row>
    <row r="116" spans="2:8" ht="15.75" customHeight="1">
      <c r="B116" s="628" t="s">
        <v>1558</v>
      </c>
      <c r="C116" s="669"/>
      <c r="D116" s="706">
        <f t="shared" si="5"/>
        <v>152.45615296474622</v>
      </c>
      <c r="E116" s="701">
        <v>225322396</v>
      </c>
      <c r="F116" s="634">
        <v>180085964</v>
      </c>
      <c r="G116" s="634">
        <v>164914160</v>
      </c>
      <c r="H116" s="690">
        <v>234692836</v>
      </c>
    </row>
    <row r="117" spans="2:8" ht="17.25">
      <c r="B117" s="628" t="s">
        <v>1605</v>
      </c>
      <c r="C117" s="669"/>
      <c r="D117" s="706">
        <f t="shared" si="5"/>
        <v>153.42837933646015</v>
      </c>
      <c r="E117" s="701">
        <v>225034223</v>
      </c>
      <c r="F117" s="634">
        <v>179336885</v>
      </c>
      <c r="G117" s="634">
        <v>170734623</v>
      </c>
      <c r="H117" s="690">
        <v>233586185</v>
      </c>
    </row>
    <row r="118" spans="2:8" ht="15.75" customHeight="1">
      <c r="B118" s="833" t="s">
        <v>1566</v>
      </c>
      <c r="C118" s="666"/>
      <c r="D118" s="706">
        <f t="shared" si="5"/>
        <v>155.68868548414844</v>
      </c>
      <c r="E118" s="701">
        <v>232137008</v>
      </c>
      <c r="F118" s="634">
        <v>183152127</v>
      </c>
      <c r="G118" s="634">
        <v>167827069</v>
      </c>
      <c r="H118" s="690">
        <v>239421853</v>
      </c>
    </row>
    <row r="119" spans="2:8" ht="17.25">
      <c r="B119" s="628" t="s">
        <v>1640</v>
      </c>
      <c r="C119" s="666"/>
      <c r="D119" s="706">
        <f t="shared" si="5"/>
        <v>156.04201008873025</v>
      </c>
      <c r="E119" s="701">
        <v>228870703</v>
      </c>
      <c r="F119" s="634">
        <v>182901361</v>
      </c>
      <c r="G119" s="634">
        <v>168999491</v>
      </c>
      <c r="H119" s="690">
        <v>243620999</v>
      </c>
    </row>
    <row r="120" spans="2:8" ht="17.25">
      <c r="B120" s="628" t="s">
        <v>1559</v>
      </c>
      <c r="C120" s="654" t="s">
        <v>46</v>
      </c>
      <c r="D120" s="706">
        <f t="shared" si="5"/>
        <v>158.26766240931147</v>
      </c>
      <c r="E120" s="701">
        <v>237513749</v>
      </c>
      <c r="F120" s="634">
        <v>183285672</v>
      </c>
      <c r="G120" s="634">
        <v>171008191</v>
      </c>
      <c r="H120" s="690">
        <v>245107922</v>
      </c>
    </row>
    <row r="121" spans="2:8" ht="17.25">
      <c r="B121" s="628" t="s">
        <v>1560</v>
      </c>
      <c r="C121" s="654" t="s">
        <v>46</v>
      </c>
      <c r="D121" s="706">
        <f t="shared" si="5"/>
        <v>158.60795048866072</v>
      </c>
      <c r="E121" s="701">
        <v>237700597</v>
      </c>
      <c r="F121" s="634">
        <v>184503096</v>
      </c>
      <c r="G121" s="634">
        <v>171249654</v>
      </c>
      <c r="H121" s="690">
        <v>245050182</v>
      </c>
    </row>
    <row r="122" spans="2:8" ht="17.25">
      <c r="B122" s="621" t="s">
        <v>1584</v>
      </c>
      <c r="C122" s="666"/>
      <c r="D122" s="706">
        <f t="shared" si="5"/>
        <v>159.92755955683958</v>
      </c>
      <c r="E122" s="701">
        <v>240581086</v>
      </c>
      <c r="F122" s="709">
        <v>183579529</v>
      </c>
      <c r="G122" s="709">
        <v>173373467</v>
      </c>
      <c r="H122" s="690">
        <v>248433680</v>
      </c>
    </row>
    <row r="123" spans="2:8" ht="17.25">
      <c r="B123" s="621" t="s">
        <v>1596</v>
      </c>
      <c r="C123" s="666"/>
      <c r="D123" s="706">
        <f t="shared" si="5"/>
        <v>164.01529687152555</v>
      </c>
      <c r="E123" s="701">
        <v>246981873</v>
      </c>
      <c r="F123" s="634">
        <v>187269687</v>
      </c>
      <c r="G123" s="634">
        <v>177835637</v>
      </c>
      <c r="H123" s="690">
        <v>255820787</v>
      </c>
    </row>
    <row r="124" spans="2:8" ht="17.25">
      <c r="B124" s="628" t="s">
        <v>1567</v>
      </c>
      <c r="C124" s="654" t="s">
        <v>46</v>
      </c>
      <c r="D124" s="706"/>
      <c r="E124" s="704" t="s">
        <v>695</v>
      </c>
      <c r="F124" s="691" t="s">
        <v>695</v>
      </c>
      <c r="G124" s="691" t="s">
        <v>695</v>
      </c>
      <c r="H124" s="692" t="s">
        <v>695</v>
      </c>
    </row>
    <row r="125" spans="2:8" ht="17.25">
      <c r="B125" s="626" t="s">
        <v>1579</v>
      </c>
      <c r="C125" s="711"/>
      <c r="D125" s="706"/>
      <c r="E125" s="704" t="s">
        <v>695</v>
      </c>
      <c r="F125" s="691" t="s">
        <v>695</v>
      </c>
      <c r="G125" s="691" t="s">
        <v>695</v>
      </c>
      <c r="H125" s="692" t="s">
        <v>695</v>
      </c>
    </row>
    <row r="126" spans="2:8" ht="17.25">
      <c r="B126" s="626" t="s">
        <v>1568</v>
      </c>
      <c r="C126" s="666"/>
      <c r="D126" s="706"/>
      <c r="E126" s="704" t="s">
        <v>695</v>
      </c>
      <c r="F126" s="691" t="s">
        <v>695</v>
      </c>
      <c r="G126" s="691" t="s">
        <v>695</v>
      </c>
      <c r="H126" s="692" t="s">
        <v>695</v>
      </c>
    </row>
    <row r="127" spans="2:8" ht="17.25">
      <c r="B127" s="628" t="s">
        <v>1547</v>
      </c>
      <c r="C127" s="666"/>
      <c r="D127" s="706"/>
      <c r="E127" s="705" t="s">
        <v>695</v>
      </c>
      <c r="F127" s="609" t="s">
        <v>695</v>
      </c>
      <c r="G127" s="609" t="s">
        <v>695</v>
      </c>
      <c r="H127" s="609" t="s">
        <v>695</v>
      </c>
    </row>
    <row r="128" spans="2:8" ht="17.25">
      <c r="B128" s="628" t="s">
        <v>1588</v>
      </c>
      <c r="C128" s="699" t="s">
        <v>46</v>
      </c>
      <c r="D128" s="706"/>
      <c r="E128" s="705" t="s">
        <v>695</v>
      </c>
      <c r="F128" s="609" t="s">
        <v>695</v>
      </c>
      <c r="G128" s="609" t="s">
        <v>695</v>
      </c>
      <c r="H128" s="609" t="s">
        <v>695</v>
      </c>
    </row>
    <row r="129" spans="2:8" ht="17.25">
      <c r="B129" s="621" t="s">
        <v>1591</v>
      </c>
      <c r="C129" s="666"/>
      <c r="D129" s="706"/>
      <c r="E129" s="705" t="s">
        <v>695</v>
      </c>
      <c r="F129" s="609" t="s">
        <v>695</v>
      </c>
      <c r="G129" s="609" t="s">
        <v>695</v>
      </c>
      <c r="H129" s="609" t="s">
        <v>695</v>
      </c>
    </row>
    <row r="130" spans="2:8" ht="17.25">
      <c r="B130" s="629" t="s">
        <v>1603</v>
      </c>
      <c r="C130" s="697"/>
      <c r="D130" s="706"/>
      <c r="E130" s="704" t="s">
        <v>695</v>
      </c>
      <c r="F130" s="691" t="s">
        <v>695</v>
      </c>
      <c r="G130" s="691" t="s">
        <v>695</v>
      </c>
      <c r="H130" s="692" t="s">
        <v>695</v>
      </c>
    </row>
    <row r="131" spans="2:8" ht="17.25">
      <c r="B131" s="629" t="s">
        <v>1602</v>
      </c>
      <c r="C131" s="697"/>
      <c r="D131" s="706"/>
      <c r="E131" s="704" t="s">
        <v>695</v>
      </c>
      <c r="F131" s="691" t="s">
        <v>695</v>
      </c>
      <c r="G131" s="691" t="s">
        <v>695</v>
      </c>
      <c r="H131" s="692" t="s">
        <v>695</v>
      </c>
    </row>
    <row r="132" spans="2:8" ht="17.25">
      <c r="B132" s="621" t="s">
        <v>1574</v>
      </c>
      <c r="C132" s="694"/>
      <c r="D132" s="706"/>
      <c r="E132" s="704" t="s">
        <v>695</v>
      </c>
      <c r="F132" s="691" t="s">
        <v>695</v>
      </c>
      <c r="G132" s="691" t="s">
        <v>695</v>
      </c>
      <c r="H132" s="692" t="s">
        <v>695</v>
      </c>
    </row>
    <row r="133" spans="2:8" ht="17.25">
      <c r="B133" s="628" t="s">
        <v>1572</v>
      </c>
      <c r="C133" s="694"/>
      <c r="D133" s="706"/>
      <c r="E133" s="704" t="s">
        <v>695</v>
      </c>
      <c r="F133" s="691" t="s">
        <v>695</v>
      </c>
      <c r="G133" s="691" t="s">
        <v>695</v>
      </c>
      <c r="H133" s="692" t="s">
        <v>695</v>
      </c>
    </row>
    <row r="134" spans="2:8" ht="17.25">
      <c r="B134" s="628" t="s">
        <v>1575</v>
      </c>
      <c r="C134" s="697"/>
      <c r="D134" s="706"/>
      <c r="E134" s="704" t="s">
        <v>695</v>
      </c>
      <c r="F134" s="691" t="s">
        <v>695</v>
      </c>
      <c r="G134" s="691" t="s">
        <v>695</v>
      </c>
      <c r="H134" s="692" t="s">
        <v>695</v>
      </c>
    </row>
    <row r="135" spans="2:8" ht="17.25">
      <c r="B135" s="621" t="s">
        <v>1592</v>
      </c>
      <c r="C135" s="697"/>
      <c r="D135" s="706"/>
      <c r="E135" s="704" t="s">
        <v>695</v>
      </c>
      <c r="F135" s="691" t="s">
        <v>695</v>
      </c>
      <c r="G135" s="691" t="s">
        <v>695</v>
      </c>
      <c r="H135" s="692" t="s">
        <v>695</v>
      </c>
    </row>
    <row r="136" spans="2:8" ht="17.25">
      <c r="B136" s="628" t="s">
        <v>1562</v>
      </c>
      <c r="C136" s="711"/>
      <c r="D136" s="706"/>
      <c r="E136" s="704" t="s">
        <v>695</v>
      </c>
      <c r="F136" s="691" t="s">
        <v>695</v>
      </c>
      <c r="G136" s="691" t="s">
        <v>695</v>
      </c>
      <c r="H136" s="692" t="s">
        <v>695</v>
      </c>
    </row>
    <row r="137" spans="2:8" ht="15.75" customHeight="1">
      <c r="B137" s="649" t="s">
        <v>1561</v>
      </c>
      <c r="C137" s="716"/>
      <c r="D137" s="719"/>
      <c r="E137" s="704" t="s">
        <v>695</v>
      </c>
      <c r="F137" s="691" t="s">
        <v>695</v>
      </c>
      <c r="G137" s="691" t="s">
        <v>695</v>
      </c>
      <c r="H137" s="692" t="s">
        <v>695</v>
      </c>
    </row>
    <row r="138" spans="2:8" ht="17.25">
      <c r="B138" s="708" t="s">
        <v>1595</v>
      </c>
      <c r="C138" s="666"/>
      <c r="D138" s="706"/>
      <c r="E138" s="705" t="s">
        <v>695</v>
      </c>
      <c r="F138" s="609" t="s">
        <v>695</v>
      </c>
      <c r="G138" s="609" t="s">
        <v>695</v>
      </c>
      <c r="H138" s="609" t="s">
        <v>695</v>
      </c>
    </row>
    <row r="139" spans="2:8" ht="15.75" customHeight="1">
      <c r="B139" s="649" t="s">
        <v>1599</v>
      </c>
      <c r="C139" s="718"/>
      <c r="D139" s="719"/>
      <c r="E139" s="704" t="s">
        <v>695</v>
      </c>
      <c r="F139" s="691" t="s">
        <v>695</v>
      </c>
      <c r="G139" s="691" t="s">
        <v>695</v>
      </c>
      <c r="H139" s="692" t="s">
        <v>695</v>
      </c>
    </row>
    <row r="140" spans="2:8" ht="17.25">
      <c r="B140" s="622" t="s">
        <v>1518</v>
      </c>
      <c r="C140" s="712"/>
      <c r="D140" s="706"/>
      <c r="E140" s="703" t="s">
        <v>695</v>
      </c>
      <c r="F140" s="692" t="s">
        <v>695</v>
      </c>
      <c r="G140" s="691" t="s">
        <v>695</v>
      </c>
      <c r="H140" s="692" t="s">
        <v>695</v>
      </c>
    </row>
    <row r="141" spans="2:8" ht="17.25">
      <c r="B141" s="831" t="s">
        <v>1557</v>
      </c>
      <c r="C141" s="697"/>
      <c r="D141" s="706"/>
      <c r="E141" s="703" t="s">
        <v>695</v>
      </c>
      <c r="F141" s="691" t="s">
        <v>695</v>
      </c>
      <c r="G141" s="691" t="s">
        <v>695</v>
      </c>
      <c r="H141" s="692" t="s">
        <v>695</v>
      </c>
    </row>
    <row r="142" spans="2:8" ht="17.25">
      <c r="B142" s="835" t="s">
        <v>1598</v>
      </c>
      <c r="C142" s="698"/>
      <c r="D142" s="706"/>
      <c r="E142" s="704" t="s">
        <v>695</v>
      </c>
      <c r="F142" s="691" t="s">
        <v>695</v>
      </c>
      <c r="G142" s="691" t="s">
        <v>695</v>
      </c>
      <c r="H142" s="692" t="s">
        <v>695</v>
      </c>
    </row>
    <row r="143" spans="2:8" ht="17.25">
      <c r="B143" s="621" t="s">
        <v>1587</v>
      </c>
      <c r="C143" s="697"/>
      <c r="D143" s="706"/>
      <c r="E143" s="704" t="s">
        <v>695</v>
      </c>
      <c r="F143" s="691" t="s">
        <v>695</v>
      </c>
      <c r="G143" s="692" t="s">
        <v>695</v>
      </c>
      <c r="H143" s="692" t="s">
        <v>695</v>
      </c>
    </row>
    <row r="144" spans="2:8" ht="17.25">
      <c r="B144" s="630" t="s">
        <v>1593</v>
      </c>
      <c r="C144" s="654" t="s">
        <v>46</v>
      </c>
      <c r="D144" s="706"/>
      <c r="E144" s="704" t="s">
        <v>695</v>
      </c>
      <c r="F144" s="691" t="s">
        <v>695</v>
      </c>
      <c r="G144" s="691" t="s">
        <v>695</v>
      </c>
      <c r="H144" s="692" t="s">
        <v>695</v>
      </c>
    </row>
    <row r="145" spans="2:8" ht="17.25">
      <c r="B145" s="628" t="s">
        <v>1548</v>
      </c>
      <c r="C145" s="697"/>
      <c r="D145" s="706"/>
      <c r="E145" s="704" t="s">
        <v>695</v>
      </c>
      <c r="F145" s="691" t="s">
        <v>695</v>
      </c>
      <c r="G145" s="691" t="s">
        <v>695</v>
      </c>
      <c r="H145" s="692" t="s">
        <v>695</v>
      </c>
    </row>
    <row r="146" spans="2:8" ht="17.25">
      <c r="B146" s="628" t="s">
        <v>1581</v>
      </c>
      <c r="C146" s="697"/>
      <c r="D146" s="706"/>
      <c r="E146" s="704" t="s">
        <v>695</v>
      </c>
      <c r="F146" s="691" t="s">
        <v>695</v>
      </c>
      <c r="G146" s="691" t="s">
        <v>695</v>
      </c>
      <c r="H146" s="692" t="s">
        <v>695</v>
      </c>
    </row>
    <row r="147" spans="2:8" ht="17.25">
      <c r="B147" s="628" t="s">
        <v>1516</v>
      </c>
      <c r="C147" s="698"/>
      <c r="D147" s="706"/>
      <c r="E147" s="705" t="s">
        <v>695</v>
      </c>
      <c r="F147" s="609" t="s">
        <v>695</v>
      </c>
      <c r="G147" s="609" t="s">
        <v>695</v>
      </c>
      <c r="H147" s="609" t="s">
        <v>695</v>
      </c>
    </row>
    <row r="148" spans="2:8" ht="17.25">
      <c r="B148" s="645" t="s">
        <v>1586</v>
      </c>
      <c r="C148" s="666"/>
      <c r="D148" s="706"/>
      <c r="E148" s="705" t="s">
        <v>695</v>
      </c>
      <c r="F148" s="609" t="s">
        <v>695</v>
      </c>
      <c r="G148" s="609" t="s">
        <v>695</v>
      </c>
      <c r="H148" s="609" t="s">
        <v>695</v>
      </c>
    </row>
    <row r="149" spans="2:8" ht="17.25">
      <c r="B149" s="629" t="s">
        <v>1604</v>
      </c>
      <c r="C149" s="697"/>
      <c r="D149" s="706"/>
      <c r="E149" s="704" t="s">
        <v>695</v>
      </c>
      <c r="F149" s="691" t="s">
        <v>695</v>
      </c>
      <c r="G149" s="691" t="s">
        <v>695</v>
      </c>
      <c r="H149" s="692" t="s">
        <v>695</v>
      </c>
    </row>
    <row r="150" spans="2:8" ht="17.25">
      <c r="B150" s="831" t="s">
        <v>1601</v>
      </c>
      <c r="C150" s="699" t="s">
        <v>46</v>
      </c>
      <c r="D150" s="706"/>
      <c r="E150" s="704" t="s">
        <v>695</v>
      </c>
      <c r="F150" s="691" t="s">
        <v>695</v>
      </c>
      <c r="G150" s="691" t="s">
        <v>695</v>
      </c>
      <c r="H150" s="692" t="s">
        <v>695</v>
      </c>
    </row>
    <row r="151" spans="2:8" ht="17.25">
      <c r="B151" s="831" t="s">
        <v>1639</v>
      </c>
      <c r="C151" s="666"/>
      <c r="D151" s="706"/>
      <c r="E151" s="704" t="s">
        <v>695</v>
      </c>
      <c r="F151" s="691" t="s">
        <v>695</v>
      </c>
      <c r="G151" s="691" t="s">
        <v>695</v>
      </c>
      <c r="H151" s="692" t="s">
        <v>695</v>
      </c>
    </row>
    <row r="152" spans="2:8" ht="15.75" customHeight="1">
      <c r="B152" s="629" t="s">
        <v>1569</v>
      </c>
      <c r="C152" s="667"/>
      <c r="D152" s="719"/>
      <c r="E152" s="704" t="s">
        <v>695</v>
      </c>
      <c r="F152" s="691" t="s">
        <v>695</v>
      </c>
      <c r="G152" s="691" t="s">
        <v>695</v>
      </c>
      <c r="H152" s="692" t="s">
        <v>695</v>
      </c>
    </row>
    <row r="153" spans="2:8" ht="15.75" customHeight="1">
      <c r="B153" s="626" t="s">
        <v>1597</v>
      </c>
      <c r="C153" s="625"/>
      <c r="D153" s="687"/>
      <c r="E153" s="609" t="s">
        <v>695</v>
      </c>
      <c r="F153" s="609" t="s">
        <v>695</v>
      </c>
      <c r="G153" s="609" t="s">
        <v>695</v>
      </c>
      <c r="H153" s="609" t="s">
        <v>695</v>
      </c>
    </row>
    <row r="154" spans="2:8" ht="15.75" customHeight="1">
      <c r="B154" s="626" t="s">
        <v>1570</v>
      </c>
      <c r="C154" s="625"/>
      <c r="D154" s="687"/>
      <c r="E154" s="609" t="s">
        <v>695</v>
      </c>
      <c r="F154" s="609" t="s">
        <v>695</v>
      </c>
      <c r="G154" s="609" t="s">
        <v>695</v>
      </c>
      <c r="H154" s="609" t="s">
        <v>695</v>
      </c>
    </row>
    <row r="155" spans="2:8" ht="15.75" customHeight="1">
      <c r="B155" s="621" t="s">
        <v>1585</v>
      </c>
      <c r="C155" s="717"/>
      <c r="D155" s="720"/>
      <c r="E155" s="609" t="s">
        <v>695</v>
      </c>
      <c r="F155" s="609" t="s">
        <v>695</v>
      </c>
      <c r="G155" s="609" t="s">
        <v>695</v>
      </c>
      <c r="H155" s="609" t="s">
        <v>695</v>
      </c>
    </row>
    <row r="156" spans="2:8" ht="17.25">
      <c r="B156" s="627" t="s">
        <v>1644</v>
      </c>
    </row>
    <row r="157" spans="2:8" ht="17.25">
      <c r="B157" s="64" t="s">
        <v>1647</v>
      </c>
    </row>
    <row r="158" spans="2:8" ht="17.25">
      <c r="B158" s="627" t="s">
        <v>1645</v>
      </c>
    </row>
  </sheetData>
  <sortState ref="B106:H110">
    <sortCondition ref="D106:D110"/>
  </sortState>
  <mergeCells count="2">
    <mergeCell ref="B3:B4"/>
    <mergeCell ref="B83:B84"/>
  </mergeCells>
  <conditionalFormatting sqref="H8:H76">
    <cfRule type="cellIs" dxfId="159" priority="2430" operator="equal">
      <formula>MIN(H$8:H$76)</formula>
    </cfRule>
    <cfRule type="cellIs" dxfId="158" priority="2431" operator="lessThan">
      <formula>MIN(H$8:H$76)*1.1</formula>
    </cfRule>
    <cfRule type="colorScale" priority="2432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K8:K80">
    <cfRule type="cellIs" dxfId="157" priority="2477" operator="lessThan">
      <formula>MIN(K$8:K$76)*1.1</formula>
    </cfRule>
  </conditionalFormatting>
  <conditionalFormatting sqref="H8:H76">
    <cfRule type="cellIs" dxfId="156" priority="343" operator="equal">
      <formula>MIN(H$8:H$76)</formula>
    </cfRule>
    <cfRule type="colorScale" priority="34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7:H76">
    <cfRule type="cellIs" dxfId="155" priority="345" operator="lessThan">
      <formula>MIN(H$8:H$76)*1.1</formula>
    </cfRule>
  </conditionalFormatting>
  <conditionalFormatting sqref="F8:F76">
    <cfRule type="cellIs" dxfId="154" priority="338" operator="equal">
      <formula>MIN(F$8:F$76)</formula>
    </cfRule>
    <cfRule type="cellIs" dxfId="153" priority="340" operator="lessThan">
      <formula>MIN(F$8:F$76)*1.1</formula>
    </cfRule>
    <cfRule type="colorScale" priority="341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76">
    <cfRule type="colorScale" priority="321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76">
    <cfRule type="cellIs" dxfId="152" priority="320" operator="lessThan">
      <formula>MIN(E$8:E$76)*1.1</formula>
    </cfRule>
  </conditionalFormatting>
  <conditionalFormatting sqref="E76">
    <cfRule type="cellIs" dxfId="151" priority="319" operator="equal">
      <formula>MIN(E$8:E$76)</formula>
    </cfRule>
  </conditionalFormatting>
  <conditionalFormatting sqref="E8:E76">
    <cfRule type="cellIs" dxfId="150" priority="337" operator="equal">
      <formula>MIN(E$8:E$76)</formula>
    </cfRule>
    <cfRule type="cellIs" dxfId="149" priority="339" operator="lessThan">
      <formula>MIN(E$8:E$76)*1.1</formula>
    </cfRule>
    <cfRule type="colorScale" priority="342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8:G76">
    <cfRule type="cellIs" dxfId="148" priority="2424" operator="equal">
      <formula>MIN(G$8:G$76)</formula>
    </cfRule>
    <cfRule type="colorScale" priority="2425">
      <colorScale>
        <cfvo type="min"/>
        <cfvo type="percentile" val="50"/>
        <cfvo type="max"/>
        <color rgb="FFFFFF99"/>
        <color rgb="FFFFCC99"/>
        <color rgb="FF99CCFF"/>
      </colorScale>
    </cfRule>
    <cfRule type="cellIs" dxfId="147" priority="2484" operator="lessThan">
      <formula>MIN(G$8:G$76)*1.1</formula>
    </cfRule>
  </conditionalFormatting>
  <conditionalFormatting sqref="I8:I76">
    <cfRule type="cellIs" dxfId="146" priority="2445" operator="equal">
      <formula>MIN(I$8:I$76)</formula>
    </cfRule>
    <cfRule type="cellIs" dxfId="145" priority="2446" operator="lessThan">
      <formula>MIN(I$8:I$76)*1.1</formula>
    </cfRule>
    <cfRule type="colorScale" priority="2447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J8:J76">
    <cfRule type="cellIs" dxfId="144" priority="2460" operator="equal">
      <formula>MIN(J$8:J$76)</formula>
    </cfRule>
    <cfRule type="cellIs" dxfId="143" priority="2461" operator="lessThan">
      <formula>MIN(J$8:J$76)*1.1</formula>
    </cfRule>
    <cfRule type="colorScale" priority="2462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K8:K76">
    <cfRule type="cellIs" dxfId="142" priority="2475" operator="equal">
      <formula>MIN(K$8:K$80)</formula>
    </cfRule>
    <cfRule type="colorScale" priority="2476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D7:D76">
    <cfRule type="dataBar" priority="31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{275F6464-BCF8-44A7-882A-1563535FDF0E}</x14:id>
        </ext>
      </extLst>
    </cfRule>
  </conditionalFormatting>
  <conditionalFormatting sqref="D146:D155">
    <cfRule type="dataBar" priority="3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{E5F9C900-5916-4091-B9AB-28F1CDDA6A0D}</x14:id>
        </ext>
      </extLst>
    </cfRule>
  </conditionalFormatting>
  <conditionalFormatting sqref="E148">
    <cfRule type="colorScale" priority="288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48">
    <cfRule type="cellIs" dxfId="141" priority="287" operator="lessThan">
      <formula>MIN(E$8:E$76)*1.1</formula>
    </cfRule>
  </conditionalFormatting>
  <conditionalFormatting sqref="E148">
    <cfRule type="cellIs" dxfId="140" priority="286" operator="equal">
      <formula>MIN(E$8:E$76)</formula>
    </cfRule>
  </conditionalFormatting>
  <conditionalFormatting sqref="E148">
    <cfRule type="cellIs" dxfId="139" priority="289" operator="equal">
      <formula>MIN(E$8:E$76)</formula>
    </cfRule>
    <cfRule type="cellIs" dxfId="138" priority="290" operator="lessThan">
      <formula>MIN(E$8:E$76)*1.1</formula>
    </cfRule>
    <cfRule type="colorScale" priority="291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48">
    <cfRule type="colorScale" priority="282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48">
    <cfRule type="cellIs" dxfId="137" priority="281" operator="lessThan">
      <formula>MIN(F$8:F$76)*1.1</formula>
    </cfRule>
  </conditionalFormatting>
  <conditionalFormatting sqref="F148">
    <cfRule type="cellIs" dxfId="136" priority="280" operator="equal">
      <formula>MIN(F$8:F$76)</formula>
    </cfRule>
  </conditionalFormatting>
  <conditionalFormatting sqref="F148">
    <cfRule type="cellIs" dxfId="135" priority="283" operator="equal">
      <formula>MIN(F$8:F$76)</formula>
    </cfRule>
    <cfRule type="cellIs" dxfId="134" priority="284" operator="lessThan">
      <formula>MIN(F$8:F$76)*1.1</formula>
    </cfRule>
    <cfRule type="colorScale" priority="285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48">
    <cfRule type="colorScale" priority="276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48">
    <cfRule type="cellIs" dxfId="133" priority="275" operator="lessThan">
      <formula>MIN(G$8:G$76)*1.1</formula>
    </cfRule>
  </conditionalFormatting>
  <conditionalFormatting sqref="G148">
    <cfRule type="cellIs" dxfId="132" priority="274" operator="equal">
      <formula>MIN(G$8:G$76)</formula>
    </cfRule>
  </conditionalFormatting>
  <conditionalFormatting sqref="G148">
    <cfRule type="cellIs" dxfId="131" priority="277" operator="equal">
      <formula>MIN(G$8:G$76)</formula>
    </cfRule>
    <cfRule type="cellIs" dxfId="130" priority="278" operator="lessThan">
      <formula>MIN(G$8:G$76)*1.1</formula>
    </cfRule>
    <cfRule type="colorScale" priority="279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48">
    <cfRule type="colorScale" priority="270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48">
    <cfRule type="cellIs" dxfId="129" priority="269" operator="lessThan">
      <formula>MIN(H$8:H$76)*1.1</formula>
    </cfRule>
  </conditionalFormatting>
  <conditionalFormatting sqref="H148">
    <cfRule type="cellIs" dxfId="128" priority="268" operator="equal">
      <formula>MIN(H$8:H$76)</formula>
    </cfRule>
  </conditionalFormatting>
  <conditionalFormatting sqref="H148">
    <cfRule type="cellIs" dxfId="127" priority="271" operator="equal">
      <formula>MIN(H$8:H$76)</formula>
    </cfRule>
    <cfRule type="cellIs" dxfId="126" priority="272" operator="lessThan">
      <formula>MIN(H$8:H$76)*1.1</formula>
    </cfRule>
    <cfRule type="colorScale" priority="27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47">
    <cfRule type="colorScale" priority="26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47">
    <cfRule type="cellIs" dxfId="125" priority="263" operator="lessThan">
      <formula>MIN(E$8:E$76)*1.1</formula>
    </cfRule>
  </conditionalFormatting>
  <conditionalFormatting sqref="E147">
    <cfRule type="cellIs" dxfId="124" priority="262" operator="equal">
      <formula>MIN(E$8:E$76)</formula>
    </cfRule>
  </conditionalFormatting>
  <conditionalFormatting sqref="E147">
    <cfRule type="cellIs" dxfId="123" priority="265" operator="equal">
      <formula>MIN(E$8:E$76)</formula>
    </cfRule>
    <cfRule type="cellIs" dxfId="122" priority="266" operator="lessThan">
      <formula>MIN(E$8:E$76)*1.1</formula>
    </cfRule>
    <cfRule type="colorScale" priority="267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47">
    <cfRule type="colorScale" priority="258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47">
    <cfRule type="cellIs" dxfId="121" priority="257" operator="lessThan">
      <formula>MIN(F$8:F$76)*1.1</formula>
    </cfRule>
  </conditionalFormatting>
  <conditionalFormatting sqref="F147">
    <cfRule type="cellIs" dxfId="120" priority="256" operator="equal">
      <formula>MIN(F$8:F$76)</formula>
    </cfRule>
  </conditionalFormatting>
  <conditionalFormatting sqref="F147">
    <cfRule type="cellIs" dxfId="119" priority="259" operator="equal">
      <formula>MIN(F$8:F$76)</formula>
    </cfRule>
    <cfRule type="cellIs" dxfId="118" priority="260" operator="lessThan">
      <formula>MIN(F$8:F$76)*1.1</formula>
    </cfRule>
    <cfRule type="colorScale" priority="261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47">
    <cfRule type="colorScale" priority="252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47">
    <cfRule type="cellIs" dxfId="117" priority="251" operator="lessThan">
      <formula>MIN(G$8:G$76)*1.1</formula>
    </cfRule>
  </conditionalFormatting>
  <conditionalFormatting sqref="G147">
    <cfRule type="cellIs" dxfId="116" priority="250" operator="equal">
      <formula>MIN(G$8:G$76)</formula>
    </cfRule>
  </conditionalFormatting>
  <conditionalFormatting sqref="G147">
    <cfRule type="cellIs" dxfId="115" priority="253" operator="equal">
      <formula>MIN(G$8:G$76)</formula>
    </cfRule>
    <cfRule type="cellIs" dxfId="114" priority="254" operator="lessThan">
      <formula>MIN(G$8:G$76)*1.1</formula>
    </cfRule>
    <cfRule type="colorScale" priority="255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47">
    <cfRule type="colorScale" priority="246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47">
    <cfRule type="cellIs" dxfId="113" priority="245" operator="lessThan">
      <formula>MIN(H$8:H$76)*1.1</formula>
    </cfRule>
  </conditionalFormatting>
  <conditionalFormatting sqref="H147">
    <cfRule type="cellIs" dxfId="112" priority="244" operator="equal">
      <formula>MIN(H$8:H$76)</formula>
    </cfRule>
  </conditionalFormatting>
  <conditionalFormatting sqref="H147">
    <cfRule type="cellIs" dxfId="111" priority="247" operator="equal">
      <formula>MIN(H$8:H$76)</formula>
    </cfRule>
    <cfRule type="cellIs" dxfId="110" priority="248" operator="lessThan">
      <formula>MIN(H$8:H$76)*1.1</formula>
    </cfRule>
    <cfRule type="colorScale" priority="249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55">
    <cfRule type="colorScale" priority="240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55">
    <cfRule type="cellIs" dxfId="109" priority="239" operator="lessThan">
      <formula>MIN(E$8:E$76)*1.1</formula>
    </cfRule>
  </conditionalFormatting>
  <conditionalFormatting sqref="E155">
    <cfRule type="cellIs" dxfId="108" priority="238" operator="equal">
      <formula>MIN(E$8:E$76)</formula>
    </cfRule>
  </conditionalFormatting>
  <conditionalFormatting sqref="E155">
    <cfRule type="cellIs" dxfId="107" priority="241" operator="equal">
      <formula>MIN(E$8:E$76)</formula>
    </cfRule>
    <cfRule type="cellIs" dxfId="106" priority="242" operator="lessThan">
      <formula>MIN(E$8:E$76)*1.1</formula>
    </cfRule>
    <cfRule type="colorScale" priority="24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55">
    <cfRule type="colorScale" priority="23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55">
    <cfRule type="cellIs" dxfId="105" priority="233" operator="lessThan">
      <formula>MIN(F$8:F$76)*1.1</formula>
    </cfRule>
  </conditionalFormatting>
  <conditionalFormatting sqref="F155">
    <cfRule type="cellIs" dxfId="104" priority="232" operator="equal">
      <formula>MIN(F$8:F$76)</formula>
    </cfRule>
  </conditionalFormatting>
  <conditionalFormatting sqref="F155">
    <cfRule type="cellIs" dxfId="103" priority="235" operator="equal">
      <formula>MIN(F$8:F$76)</formula>
    </cfRule>
    <cfRule type="cellIs" dxfId="102" priority="236" operator="lessThan">
      <formula>MIN(F$8:F$76)*1.1</formula>
    </cfRule>
    <cfRule type="colorScale" priority="237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55">
    <cfRule type="colorScale" priority="228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55">
    <cfRule type="cellIs" dxfId="101" priority="227" operator="lessThan">
      <formula>MIN(G$8:G$76)*1.1</formula>
    </cfRule>
  </conditionalFormatting>
  <conditionalFormatting sqref="G155">
    <cfRule type="cellIs" dxfId="100" priority="226" operator="equal">
      <formula>MIN(G$8:G$76)</formula>
    </cfRule>
  </conditionalFormatting>
  <conditionalFormatting sqref="G155">
    <cfRule type="cellIs" dxfId="99" priority="229" operator="equal">
      <formula>MIN(G$8:G$76)</formula>
    </cfRule>
    <cfRule type="cellIs" dxfId="98" priority="230" operator="lessThan">
      <formula>MIN(G$8:G$76)*1.1</formula>
    </cfRule>
    <cfRule type="colorScale" priority="231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55">
    <cfRule type="colorScale" priority="222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55">
    <cfRule type="cellIs" dxfId="97" priority="221" operator="lessThan">
      <formula>MIN(H$8:H$76)*1.1</formula>
    </cfRule>
  </conditionalFormatting>
  <conditionalFormatting sqref="H155">
    <cfRule type="cellIs" dxfId="96" priority="220" operator="equal">
      <formula>MIN(H$8:H$76)</formula>
    </cfRule>
  </conditionalFormatting>
  <conditionalFormatting sqref="H155">
    <cfRule type="cellIs" dxfId="95" priority="223" operator="equal">
      <formula>MIN(H$8:H$76)</formula>
    </cfRule>
    <cfRule type="cellIs" dxfId="94" priority="224" operator="lessThan">
      <formula>MIN(H$8:H$76)*1.1</formula>
    </cfRule>
    <cfRule type="colorScale" priority="225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54">
    <cfRule type="colorScale" priority="216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54">
    <cfRule type="cellIs" dxfId="93" priority="215" operator="lessThan">
      <formula>MIN(E$8:E$76)*1.1</formula>
    </cfRule>
  </conditionalFormatting>
  <conditionalFormatting sqref="E154">
    <cfRule type="cellIs" dxfId="92" priority="214" operator="equal">
      <formula>MIN(E$8:E$76)</formula>
    </cfRule>
  </conditionalFormatting>
  <conditionalFormatting sqref="E154">
    <cfRule type="cellIs" dxfId="91" priority="217" operator="equal">
      <formula>MIN(E$8:E$76)</formula>
    </cfRule>
    <cfRule type="cellIs" dxfId="90" priority="218" operator="lessThan">
      <formula>MIN(E$8:E$76)*1.1</formula>
    </cfRule>
    <cfRule type="colorScale" priority="219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54">
    <cfRule type="colorScale" priority="210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54">
    <cfRule type="cellIs" dxfId="89" priority="209" operator="lessThan">
      <formula>MIN(F$8:F$76)*1.1</formula>
    </cfRule>
  </conditionalFormatting>
  <conditionalFormatting sqref="F154">
    <cfRule type="cellIs" dxfId="88" priority="208" operator="equal">
      <formula>MIN(F$8:F$76)</formula>
    </cfRule>
  </conditionalFormatting>
  <conditionalFormatting sqref="F154">
    <cfRule type="cellIs" dxfId="87" priority="211" operator="equal">
      <formula>MIN(F$8:F$76)</formula>
    </cfRule>
    <cfRule type="cellIs" dxfId="86" priority="212" operator="lessThan">
      <formula>MIN(F$8:F$76)*1.1</formula>
    </cfRule>
    <cfRule type="colorScale" priority="21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54">
    <cfRule type="colorScale" priority="20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54">
    <cfRule type="cellIs" dxfId="85" priority="203" operator="lessThan">
      <formula>MIN(G$8:G$76)*1.1</formula>
    </cfRule>
  </conditionalFormatting>
  <conditionalFormatting sqref="G154">
    <cfRule type="cellIs" dxfId="84" priority="202" operator="equal">
      <formula>MIN(G$8:G$76)</formula>
    </cfRule>
  </conditionalFormatting>
  <conditionalFormatting sqref="G154">
    <cfRule type="cellIs" dxfId="83" priority="205" operator="equal">
      <formula>MIN(G$8:G$76)</formula>
    </cfRule>
    <cfRule type="cellIs" dxfId="82" priority="206" operator="lessThan">
      <formula>MIN(G$8:G$76)*1.1</formula>
    </cfRule>
    <cfRule type="colorScale" priority="207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54">
    <cfRule type="colorScale" priority="198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54">
    <cfRule type="cellIs" dxfId="81" priority="197" operator="lessThan">
      <formula>MIN(H$8:H$76)*1.1</formula>
    </cfRule>
  </conditionalFormatting>
  <conditionalFormatting sqref="H154">
    <cfRule type="cellIs" dxfId="80" priority="196" operator="equal">
      <formula>MIN(H$8:H$76)</formula>
    </cfRule>
  </conditionalFormatting>
  <conditionalFormatting sqref="H154">
    <cfRule type="cellIs" dxfId="79" priority="199" operator="equal">
      <formula>MIN(H$8:H$76)</formula>
    </cfRule>
    <cfRule type="cellIs" dxfId="78" priority="200" operator="lessThan">
      <formula>MIN(H$8:H$76)*1.1</formula>
    </cfRule>
    <cfRule type="colorScale" priority="201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53">
    <cfRule type="colorScale" priority="192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53">
    <cfRule type="cellIs" dxfId="77" priority="191" operator="lessThan">
      <formula>MIN(E$8:E$76)*1.1</formula>
    </cfRule>
  </conditionalFormatting>
  <conditionalFormatting sqref="E153">
    <cfRule type="cellIs" dxfId="76" priority="190" operator="equal">
      <formula>MIN(E$8:E$76)</formula>
    </cfRule>
  </conditionalFormatting>
  <conditionalFormatting sqref="E153">
    <cfRule type="cellIs" dxfId="75" priority="193" operator="equal">
      <formula>MIN(E$8:E$76)</formula>
    </cfRule>
    <cfRule type="cellIs" dxfId="74" priority="194" operator="lessThan">
      <formula>MIN(E$8:E$76)*1.1</formula>
    </cfRule>
    <cfRule type="colorScale" priority="195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53">
    <cfRule type="colorScale" priority="186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53">
    <cfRule type="cellIs" dxfId="73" priority="185" operator="lessThan">
      <formula>MIN(F$8:F$76)*1.1</formula>
    </cfRule>
  </conditionalFormatting>
  <conditionalFormatting sqref="F153">
    <cfRule type="cellIs" dxfId="72" priority="184" operator="equal">
      <formula>MIN(F$8:F$76)</formula>
    </cfRule>
  </conditionalFormatting>
  <conditionalFormatting sqref="F153">
    <cfRule type="cellIs" dxfId="71" priority="187" operator="equal">
      <formula>MIN(F$8:F$76)</formula>
    </cfRule>
    <cfRule type="cellIs" dxfId="70" priority="188" operator="lessThan">
      <formula>MIN(F$8:F$76)*1.1</formula>
    </cfRule>
    <cfRule type="colorScale" priority="189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53">
    <cfRule type="colorScale" priority="180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53">
    <cfRule type="cellIs" dxfId="69" priority="179" operator="lessThan">
      <formula>MIN(G$8:G$76)*1.1</formula>
    </cfRule>
  </conditionalFormatting>
  <conditionalFormatting sqref="G153">
    <cfRule type="cellIs" dxfId="68" priority="178" operator="equal">
      <formula>MIN(G$8:G$76)</formula>
    </cfRule>
  </conditionalFormatting>
  <conditionalFormatting sqref="G153">
    <cfRule type="cellIs" dxfId="67" priority="181" operator="equal">
      <formula>MIN(G$8:G$76)</formula>
    </cfRule>
    <cfRule type="cellIs" dxfId="66" priority="182" operator="lessThan">
      <formula>MIN(G$8:G$76)*1.1</formula>
    </cfRule>
    <cfRule type="colorScale" priority="18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53">
    <cfRule type="colorScale" priority="17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53">
    <cfRule type="cellIs" dxfId="65" priority="173" operator="lessThan">
      <formula>MIN(H$8:H$76)*1.1</formula>
    </cfRule>
  </conditionalFormatting>
  <conditionalFormatting sqref="H153">
    <cfRule type="cellIs" dxfId="64" priority="172" operator="equal">
      <formula>MIN(H$8:H$76)</formula>
    </cfRule>
  </conditionalFormatting>
  <conditionalFormatting sqref="H153">
    <cfRule type="cellIs" dxfId="63" priority="175" operator="equal">
      <formula>MIN(H$8:H$76)</formula>
    </cfRule>
    <cfRule type="cellIs" dxfId="62" priority="176" operator="lessThan">
      <formula>MIN(H$8:H$76)*1.1</formula>
    </cfRule>
    <cfRule type="colorScale" priority="177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D132">
    <cfRule type="dataBar" priority="3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{D594EAE8-40A2-4BF2-BBE8-F18A1E7ECBD5}</x14:id>
        </ext>
      </extLst>
    </cfRule>
  </conditionalFormatting>
  <conditionalFormatting sqref="D133">
    <cfRule type="dataBar" priority="2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{AD14DE3C-73FE-4B75-893A-6BD47CA09B2E}</x14:id>
        </ext>
      </extLst>
    </cfRule>
  </conditionalFormatting>
  <conditionalFormatting sqref="D134">
    <cfRule type="dataBar" priority="2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{A7884352-237D-453C-81E4-578824AC52AB}</x14:id>
        </ext>
      </extLst>
    </cfRule>
  </conditionalFormatting>
  <conditionalFormatting sqref="D135">
    <cfRule type="dataBar" priority="2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{2F44D2DB-188B-4132-86C5-006E4BA6E4EA}</x14:id>
        </ext>
      </extLst>
    </cfRule>
  </conditionalFormatting>
  <conditionalFormatting sqref="D136">
    <cfRule type="dataBar" priority="2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{56677121-D486-4879-BE73-0B252DC3DC21}</x14:id>
        </ext>
      </extLst>
    </cfRule>
  </conditionalFormatting>
  <conditionalFormatting sqref="D137">
    <cfRule type="dataBar" priority="2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{8D940D37-7B09-4B70-BBC3-A8696436EB33}</x14:id>
        </ext>
      </extLst>
    </cfRule>
  </conditionalFormatting>
  <conditionalFormatting sqref="D138">
    <cfRule type="dataBar" priority="2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{F5C5A7BB-4483-4F94-BD9A-C0BFC48E37A7}</x14:id>
        </ext>
      </extLst>
    </cfRule>
  </conditionalFormatting>
  <conditionalFormatting sqref="D139">
    <cfRule type="dataBar" priority="2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{A2C6AA58-2CB1-4092-BB7E-4AB6157DDFC8}</x14:id>
        </ext>
      </extLst>
    </cfRule>
  </conditionalFormatting>
  <conditionalFormatting sqref="D140">
    <cfRule type="dataBar" priority="2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{BE3F1D35-2635-4FDA-91B3-3EB75328BC07}</x14:id>
        </ext>
      </extLst>
    </cfRule>
  </conditionalFormatting>
  <conditionalFormatting sqref="D141">
    <cfRule type="dataBar" priority="2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{CDD48AFE-905B-4CF3-90C2-278935AF1E8B}</x14:id>
        </ext>
      </extLst>
    </cfRule>
  </conditionalFormatting>
  <conditionalFormatting sqref="D142">
    <cfRule type="dataBar" priority="2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{AB263E39-0B5B-4D3C-A0D5-0D122A5A6BB7}</x14:id>
        </ext>
      </extLst>
    </cfRule>
  </conditionalFormatting>
  <conditionalFormatting sqref="D143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{CCCD1058-C61A-4537-AF83-FF7772514B52}</x14:id>
        </ext>
      </extLst>
    </cfRule>
  </conditionalFormatting>
  <conditionalFormatting sqref="D144">
    <cfRule type="dataBar" priority="1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{C6109127-4074-472A-B188-98248C6E9327}</x14:id>
        </ext>
      </extLst>
    </cfRule>
  </conditionalFormatting>
  <conditionalFormatting sqref="D145">
    <cfRule type="dataBar" priority="1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{EDC7F616-0AB2-4B56-B0F9-779F43F8FD9D}</x14:id>
        </ext>
      </extLst>
    </cfRule>
  </conditionalFormatting>
  <conditionalFormatting sqref="G88:G145">
    <cfRule type="cellIs" dxfId="61" priority="11" operator="equal">
      <formula>MIN(G$88:G$145)</formula>
    </cfRule>
    <cfRule type="cellIs" dxfId="60" priority="12" operator="lessThan">
      <formula>MIN(G$88:G$145)*1.1</formula>
    </cfRule>
    <cfRule type="colorScale" priority="1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88:H145">
    <cfRule type="cellIs" dxfId="59" priority="292" operator="equal">
      <formula>MIN(H$88:H$145)</formula>
    </cfRule>
    <cfRule type="cellIs" dxfId="58" priority="293" operator="lessThan">
      <formula>MIN(H$88:H$145)*1.1</formula>
    </cfRule>
    <cfRule type="colorScale" priority="29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88:F145">
    <cfRule type="cellIs" dxfId="57" priority="8" operator="equal">
      <formula>MIN(F$88:F$145)</formula>
    </cfRule>
    <cfRule type="cellIs" dxfId="56" priority="9" operator="lessThan">
      <formula>MIN(F$88:F$145)*1.1</formula>
    </cfRule>
    <cfRule type="colorScale" priority="10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88:E145">
    <cfRule type="cellIs" dxfId="55" priority="2" operator="equal">
      <formula>MIN(E$88:E$145)</formula>
    </cfRule>
    <cfRule type="cellIs" dxfId="54" priority="3" operator="lessThan">
      <formula>MIN(E$88:E$145)*1.1</formula>
    </cfRule>
    <cfRule type="colorScale" priority="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D87:D131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{8D8B1997-973B-4A91-A2A0-D5EAA84DCC8F}</x14:id>
        </ext>
      </extLst>
    </cfRule>
  </conditionalFormatting>
  <hyperlinks>
    <hyperlink ref="B46" r:id="rId1" display="SONARC v2.1i (27.06.1994) -F4096 -O0 -S2 -X"/>
    <hyperlink ref="B66" r:id="rId2" display="7-Zip x64 9.1.7 (0=delta:4 1=lzma:lp1:d96:fb273) Igor Pavlov"/>
    <hyperlink ref="B76" r:id="rId3" display="VOCPACK v1.0 (02.03.1993) Nicola Ferioli"/>
    <hyperlink ref="B64" r:id="rId4" display="Onda Lossless Audio v2.2 (07.01.2008) JAVA"/>
    <hyperlink ref="B62" r:id="rId5" display="WinRar x64 v3.92 (4096 KB dictionary + Delta) Eugene Roshal"/>
    <hyperlink ref="B55" r:id="rId6" display="WinAce v2.69 Final (4096 KB dict + Delta) Marcel Lemke"/>
    <hyperlink ref="B54" r:id="rId7" display="Shorten v3.51 - 3.61 (14.02.2003) Tony Robinson"/>
    <hyperlink ref="B56" r:id="rId8"/>
    <hyperlink ref="B49" r:id="rId9" display="UHARC v0.6b (PPM, 32MB dict., Multimedia ) U. Herklotz"/>
    <hyperlink ref="B45" r:id="rId10" display="OSQ Steinberg Wavelab 6 Ess. Original Sound Quality"/>
    <hyperlink ref="B50" r:id="rId11" display="Bonk v1.0.7 (2001-26.02.2008) -32 Robert Kausch"/>
    <hyperlink ref="B11" r:id="rId12" display="LA v0.4b (08.02.2004) -high Michael Bevin"/>
    <hyperlink ref="B14" r:id="rId13" display="LA v0.4b (08.02.2004) normal Michael Bevin"/>
    <hyperlink ref="B9" r:id="rId14" display="OptimFrog v4.910ex (11.02.'11) --max. -experimental Florin Ghido"/>
    <hyperlink ref="B17" r:id="rId15" display="OptimFrog v4.910ex (11.02.'11) --mode highnew Florin Ghido"/>
    <hyperlink ref="B16" r:id="rId16" display="OptimFrog v4.910ex (11.02.'11) --mode extranew Florin Ghido"/>
    <hyperlink ref="B13" r:id="rId17" display="OptimFrog v4.910ex (11.02.'11) --bestnew -opt. Best Florin Ghido"/>
    <hyperlink ref="B10" r:id="rId18" display="OptimFrog v4.910ex (11.02.'11) --maximumcompression F. Ghido"/>
    <hyperlink ref="B20" r:id="rId19" display="STUFFIT 2010 v14.0.0.9 (2009) SITX"/>
    <hyperlink ref="B18" r:id="rId20" display="Monkey's Audio v4.01 (28.04.06) (insane) Matthew T. Ashland"/>
    <hyperlink ref="B47" r:id="rId21" display="KrishnaSoft Sound Process.Soft. v1 (06.06.00)"/>
    <hyperlink ref="B41" r:id="rId22" display="LPAC Archiver v1.41 (01.10.2002) Extra High + JointStereo"/>
    <hyperlink ref="B36" r:id="rId23" display="WAVPACK v4.60.1 (29.11.2009) no option David Bryant"/>
    <hyperlink ref="B40" r:id="rId24"/>
    <hyperlink ref="B31" r:id="rId25"/>
    <hyperlink ref="B30" r:id="rId26"/>
    <hyperlink ref="B34" r:id="rId27"/>
    <hyperlink ref="B35" r:id="rId28" display="SBC Archiver v0.970 (2004) -m3 -b63 Sami J. Makinen"/>
    <hyperlink ref="B32" r:id="rId29"/>
    <hyperlink ref="B28" r:id="rId30"/>
    <hyperlink ref="B23" r:id="rId31"/>
    <hyperlink ref="B71" r:id="rId32" display="MultitrackStudio Lite 7.1  (2012) .GJS Bremmers Audio Design"/>
    <hyperlink ref="B44" r:id="rId33"/>
    <hyperlink ref="B29" r:id="rId34"/>
    <hyperlink ref="B26" r:id="rId35" display="WAVPACK v4.60.1 (29.11.2009)) -HHX6 David Bryant"/>
    <hyperlink ref="B25" r:id="rId36" display="FreeARC 0.67 ultra (2012) Bulat Ziganshin"/>
    <hyperlink ref="B21" r:id="rId37"/>
    <hyperlink ref="B22" r:id="rId38"/>
    <hyperlink ref="B8" r:id="rId39"/>
    <hyperlink ref="B60" r:id="rId40"/>
    <hyperlink ref="B72" r:id="rId41" display="GZIP 1.3.5 (-9) ('07) Jean-Loup Gailly &amp; Mark Adler"/>
    <hyperlink ref="B70" r:id="rId42"/>
    <hyperlink ref="B42" r:id="rId43"/>
    <hyperlink ref="B73" r:id="rId44"/>
    <hyperlink ref="B48" r:id="rId45" display="KrishnaSoft Sound Process.Soft. v1 (06.06.00)"/>
    <hyperlink ref="B57" r:id="rId46"/>
    <hyperlink ref="E4" r:id="rId47"/>
    <hyperlink ref="I4" r:id="rId48"/>
    <hyperlink ref="J4" r:id="rId49"/>
    <hyperlink ref="K4" r:id="rId50"/>
    <hyperlink ref="E84" r:id="rId51"/>
    <hyperlink ref="B149" r:id="rId52" display="SONARC v2.1i (27.06.1994) -F4096 -O0 -S2 -X"/>
    <hyperlink ref="B152" r:id="rId53" display="VOCPACK v1.0 (02.03.1993) Nicola Ferioli"/>
    <hyperlink ref="B144" r:id="rId54" display="Onda Lossless Audio v2.2 (07.01.2008) JAVA"/>
    <hyperlink ref="B110" r:id="rId55" display="WinRar x64 v3.92 (4096 KB dictionary + Delta) Eugene Roshal"/>
    <hyperlink ref="B112" r:id="rId56" display="WinAce v2.69 Final (4096 KB dict + Delta) Marcel Lemke"/>
    <hyperlink ref="B148" r:id="rId57" display="Shorten v3.51 - 3.61 (14.02.2003) Tony Robinson"/>
    <hyperlink ref="B106" r:id="rId58"/>
    <hyperlink ref="B115" r:id="rId59" display="UHARC v0.6b (PPM, 32MB dict., Multimedia ) U. Herklotz"/>
    <hyperlink ref="B103" r:id="rId60" display="OSQ Steinberg Wavelab 6 Ess. Original Sound Quality"/>
    <hyperlink ref="B128" r:id="rId61" display="Bonk v1.0.7 (2001-26.02.2008) -32 Robert Kausch"/>
    <hyperlink ref="B133" r:id="rId62" display="LA v0.4b (08.02.2004) -high Michael Bevin"/>
    <hyperlink ref="B134" r:id="rId63" display="LA v0.4b (08.02.2004) normal Michael Bevin"/>
    <hyperlink ref="B88" r:id="rId64" display="OptimFrog v4.910ex (11.02.'11) --max. -experimental Florin Ghido"/>
    <hyperlink ref="B92" r:id="rId65" display="OptimFrog v4.910ex (11.02.'11) --mode highnew Florin Ghido"/>
    <hyperlink ref="B91" r:id="rId66" display="OptimFrog v4.910ex (11.02.'11) --mode extranew Florin Ghido"/>
    <hyperlink ref="B90" r:id="rId67" display="OptimFrog v4.910ex (11.02.'11) --bestnew -opt. Best Florin Ghido"/>
    <hyperlink ref="B89" r:id="rId68" display="OptimFrog v4.910ex (11.02.'11) --maximumcompression F. Ghido"/>
    <hyperlink ref="B118" r:id="rId69" display="STUFFIT 2010 v14.0.0.9 (2009) SITX"/>
    <hyperlink ref="B124" r:id="rId70" display="Monkey's Audio v4.01 (28.04.06) (insane) Matthew T. Ashland"/>
    <hyperlink ref="B131" r:id="rId71" display="KrishnaSoft Sound Process.Soft. v1 (06.06.00)"/>
    <hyperlink ref="B136" r:id="rId72" display="LPAC Archiver v1.41 (01.10.2002) Extra High + JointStereo"/>
    <hyperlink ref="B102" r:id="rId73" display="WAVPACK v4.60.1 (29.11.2009) no option David Bryant"/>
    <hyperlink ref="B127" r:id="rId74"/>
    <hyperlink ref="B97" r:id="rId75"/>
    <hyperlink ref="B145" r:id="rId76"/>
    <hyperlink ref="B101" r:id="rId77"/>
    <hyperlink ref="B114" r:id="rId78" display="SBC Archiver v0.970 (2004) -m3 -b63 Sami J. Makinen"/>
    <hyperlink ref="B98" r:id="rId79"/>
    <hyperlink ref="B96" r:id="rId80"/>
    <hyperlink ref="B95" r:id="rId81"/>
    <hyperlink ref="B142" r:id="rId82" display="MultitrackStudio Lite 7.1  (2012) .GJS Bremmers Audio Design"/>
    <hyperlink ref="B141" r:id="rId83"/>
    <hyperlink ref="B99" r:id="rId84"/>
    <hyperlink ref="B100" r:id="rId85" display="WAVPACK v4.60.1 (29.11.2009)) -HHX6 David Bryant"/>
    <hyperlink ref="B94" r:id="rId86"/>
    <hyperlink ref="B104" r:id="rId87"/>
    <hyperlink ref="B93" r:id="rId88"/>
    <hyperlink ref="B147" r:id="rId89"/>
    <hyperlink ref="B108" r:id="rId90"/>
    <hyperlink ref="B120" r:id="rId91" display="GZIP 1.3.5 (-9) ('07) Jean-Loup Gailly &amp; Mark Adler"/>
    <hyperlink ref="B121" r:id="rId92"/>
    <hyperlink ref="B105" r:id="rId93"/>
    <hyperlink ref="B150" r:id="rId94"/>
    <hyperlink ref="B130" r:id="rId95" display="KrishnaSoft Sound Process.Soft. v1 (06.06.00)"/>
    <hyperlink ref="B117" r:id="rId96"/>
    <hyperlink ref="F84" r:id="rId97"/>
    <hyperlink ref="G84" r:id="rId98"/>
    <hyperlink ref="H84" r:id="rId99"/>
    <hyperlink ref="B151" r:id="rId100" display="SONY Perfect Clarity Audio .PCA (Sound Forge Pro 10 Trial)"/>
    <hyperlink ref="B119" r:id="rId101"/>
    <hyperlink ref="B111" r:id="rId102" location="1350"/>
    <hyperlink ref="B38" r:id="rId103" location="1350"/>
    <hyperlink ref="B53" r:id="rId104" display="SONY Perfect Clarity Audio .PCA (Sound Forge Pro 10 Trial)"/>
    <hyperlink ref="B12" r:id="rId105" display="LA 0.4b (08.02.2004) normal Michael Bevin"/>
    <hyperlink ref="B15" r:id="rId106"/>
    <hyperlink ref="B37" r:id="rId107"/>
    <hyperlink ref="B19" r:id="rId108"/>
    <hyperlink ref="B116" r:id="rId109"/>
    <hyperlink ref="B146" r:id="rId110"/>
    <hyperlink ref="B27" r:id="rId111"/>
    <hyperlink ref="F4" r:id="rId112"/>
    <hyperlink ref="G4" r:id="rId113"/>
    <hyperlink ref="B113" r:id="rId114" display="7-Zip x64 9.1.7 (0=delta:4 1=lzma:lp1:d96:fb273) Igor Pavlov"/>
    <hyperlink ref="B107" r:id="rId115" display="ZCM 0.60d -m7 -r -s (2012) N.F. Antonio"/>
    <hyperlink ref="B59" r:id="rId116" display="ZCM 0.60d -m7 -r -s (2012) N.F. Antonio"/>
  </hyperlinks>
  <pageMargins left="0.70866141732283472" right="0.70866141732283472" top="0.74803149606299213" bottom="0.74803149606299213" header="0.31496062992125984" footer="0.31496062992125984"/>
  <pageSetup paperSize="9" scale="65" fitToWidth="2" fitToHeight="2" orientation="portrait" r:id="rId117"/>
  <drawing r:id="rId118"/>
  <legacyDrawing r:id="rId119"/>
  <picture r:id="rId12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5F6464-BCF8-44A7-882A-1563535FDF0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D7:D76</xm:sqref>
        </x14:conditionalFormatting>
        <x14:conditionalFormatting xmlns:xm="http://schemas.microsoft.com/office/excel/2006/main">
          <x14:cfRule type="dataBar" id="{E5F9C900-5916-4091-B9AB-28F1CDDA6A0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D146:D155</xm:sqref>
        </x14:conditionalFormatting>
        <x14:conditionalFormatting xmlns:xm="http://schemas.microsoft.com/office/excel/2006/main">
          <x14:cfRule type="dataBar" id="{D594EAE8-40A2-4BF2-BBE8-F18A1E7ECB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D132</xm:sqref>
        </x14:conditionalFormatting>
        <x14:conditionalFormatting xmlns:xm="http://schemas.microsoft.com/office/excel/2006/main">
          <x14:cfRule type="dataBar" id="{AD14DE3C-73FE-4B75-893A-6BD47CA09B2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A7884352-237D-453C-81E4-578824AC52A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D134</xm:sqref>
        </x14:conditionalFormatting>
        <x14:conditionalFormatting xmlns:xm="http://schemas.microsoft.com/office/excel/2006/main">
          <x14:cfRule type="dataBar" id="{2F44D2DB-188B-4132-86C5-006E4BA6E4E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D135</xm:sqref>
        </x14:conditionalFormatting>
        <x14:conditionalFormatting xmlns:xm="http://schemas.microsoft.com/office/excel/2006/main">
          <x14:cfRule type="dataBar" id="{56677121-D486-4879-BE73-0B252DC3DC2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D136</xm:sqref>
        </x14:conditionalFormatting>
        <x14:conditionalFormatting xmlns:xm="http://schemas.microsoft.com/office/excel/2006/main">
          <x14:cfRule type="dataBar" id="{8D940D37-7B09-4B70-BBC3-A8696436EB3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D137</xm:sqref>
        </x14:conditionalFormatting>
        <x14:conditionalFormatting xmlns:xm="http://schemas.microsoft.com/office/excel/2006/main">
          <x14:cfRule type="dataBar" id="{F5C5A7BB-4483-4F94-BD9A-C0BFC48E37A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D138</xm:sqref>
        </x14:conditionalFormatting>
        <x14:conditionalFormatting xmlns:xm="http://schemas.microsoft.com/office/excel/2006/main">
          <x14:cfRule type="dataBar" id="{A2C6AA58-2CB1-4092-BB7E-4AB6157DDFC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BE3F1D35-2635-4FDA-91B3-3EB75328BC0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D140</xm:sqref>
        </x14:conditionalFormatting>
        <x14:conditionalFormatting xmlns:xm="http://schemas.microsoft.com/office/excel/2006/main">
          <x14:cfRule type="dataBar" id="{CDD48AFE-905B-4CF3-90C2-278935AF1E8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D141</xm:sqref>
        </x14:conditionalFormatting>
        <x14:conditionalFormatting xmlns:xm="http://schemas.microsoft.com/office/excel/2006/main">
          <x14:cfRule type="dataBar" id="{AB263E39-0B5B-4D3C-A0D5-0D122A5A6BB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D142</xm:sqref>
        </x14:conditionalFormatting>
        <x14:conditionalFormatting xmlns:xm="http://schemas.microsoft.com/office/excel/2006/main">
          <x14:cfRule type="dataBar" id="{CCCD1058-C61A-4537-AF83-FF7772514B5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D143</xm:sqref>
        </x14:conditionalFormatting>
        <x14:conditionalFormatting xmlns:xm="http://schemas.microsoft.com/office/excel/2006/main">
          <x14:cfRule type="dataBar" id="{C6109127-4074-472A-B188-98248C6E932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D144</xm:sqref>
        </x14:conditionalFormatting>
        <x14:conditionalFormatting xmlns:xm="http://schemas.microsoft.com/office/excel/2006/main">
          <x14:cfRule type="dataBar" id="{EDC7F616-0AB2-4B56-B0F9-779F43F8FD9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D8B1997-973B-4A91-A2A0-D5EAA84DCC8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D87:D131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41"/>
  <sheetViews>
    <sheetView showGridLines="0" topLeftCell="A5" workbookViewId="0">
      <selection activeCell="B17" sqref="B17"/>
    </sheetView>
  </sheetViews>
  <sheetFormatPr baseColWidth="10" defaultColWidth="9.140625" defaultRowHeight="12.75"/>
  <cols>
    <col min="1" max="1" width="2.7109375" style="1" customWidth="1"/>
    <col min="2" max="2" width="57.7109375" style="1" customWidth="1"/>
    <col min="3" max="3" width="4.5703125" style="1" customWidth="1"/>
    <col min="4" max="4" width="13.7109375" style="1" customWidth="1"/>
    <col min="5" max="7" width="15.42578125" style="1" customWidth="1"/>
    <col min="8" max="9" width="15.7109375" style="1" customWidth="1"/>
    <col min="10" max="11" width="15.42578125" style="1" customWidth="1"/>
    <col min="12" max="12" width="5.7109375" style="1" customWidth="1"/>
    <col min="13" max="13" width="50.7109375" style="1" customWidth="1"/>
    <col min="14" max="14" width="2.7109375" style="1" customWidth="1"/>
    <col min="15" max="15" width="6.7109375" style="1" customWidth="1"/>
    <col min="16" max="16" width="13.7109375" style="1" customWidth="1"/>
    <col min="17" max="17" width="8.140625" style="1" customWidth="1"/>
    <col min="18" max="16384" width="9.140625" style="1"/>
  </cols>
  <sheetData>
    <row r="1" spans="1:17" ht="18" customHeight="1">
      <c r="A1" s="584"/>
      <c r="B1" s="688">
        <f ca="1">NOW()</f>
        <v>41295.601211689813</v>
      </c>
      <c r="C1" s="3142" t="s">
        <v>1648</v>
      </c>
      <c r="D1" s="3143"/>
      <c r="E1" s="3143"/>
      <c r="F1" s="3143"/>
      <c r="G1" s="3143"/>
      <c r="H1" s="3143"/>
      <c r="I1" s="3143"/>
      <c r="J1" s="3143"/>
      <c r="K1" s="3143"/>
      <c r="L1" s="585"/>
      <c r="M1" s="585"/>
      <c r="N1" s="585"/>
      <c r="O1" s="585"/>
      <c r="P1" s="585"/>
      <c r="Q1" s="585"/>
    </row>
    <row r="2" spans="1:17" ht="15" customHeight="1">
      <c r="A2" s="584"/>
      <c r="B2" s="816" t="s">
        <v>1729</v>
      </c>
      <c r="C2" s="3143"/>
      <c r="D2" s="3143"/>
      <c r="E2" s="3143"/>
      <c r="F2" s="3143"/>
      <c r="G2" s="3143"/>
      <c r="H2" s="3143"/>
      <c r="I2" s="3143"/>
      <c r="J2" s="3143"/>
      <c r="K2" s="3143"/>
      <c r="L2" s="585"/>
      <c r="M2" s="585"/>
      <c r="N2" s="585"/>
      <c r="O2" s="585"/>
      <c r="P2" s="585"/>
      <c r="Q2" s="585"/>
    </row>
    <row r="3" spans="1:17" ht="26.25" customHeight="1">
      <c r="A3" s="584"/>
      <c r="B3" s="816" t="s">
        <v>1731</v>
      </c>
      <c r="C3" s="3144"/>
      <c r="D3" s="3144"/>
      <c r="E3" s="3144"/>
      <c r="F3" s="3144"/>
      <c r="G3" s="3144"/>
      <c r="H3" s="3144"/>
      <c r="I3" s="3144"/>
      <c r="J3" s="3144"/>
      <c r="K3" s="3144"/>
      <c r="L3" s="585"/>
      <c r="M3" s="585"/>
      <c r="N3" s="585"/>
      <c r="O3" s="585"/>
      <c r="P3" s="585"/>
      <c r="Q3" s="585"/>
    </row>
    <row r="4" spans="1:17" ht="15" customHeight="1">
      <c r="A4" s="49"/>
      <c r="B4" s="618" t="s">
        <v>1564</v>
      </c>
      <c r="C4" s="733"/>
      <c r="D4" s="734" t="s">
        <v>1649</v>
      </c>
      <c r="E4" s="735" t="s">
        <v>1650</v>
      </c>
      <c r="F4" s="735" t="s">
        <v>1651</v>
      </c>
      <c r="G4" s="735" t="s">
        <v>1656</v>
      </c>
      <c r="H4" s="735" t="s">
        <v>1652</v>
      </c>
      <c r="I4" s="735" t="s">
        <v>1653</v>
      </c>
      <c r="J4" s="735" t="s">
        <v>1654</v>
      </c>
      <c r="K4" s="735" t="s">
        <v>1655</v>
      </c>
      <c r="L4" s="5"/>
      <c r="M4" s="613"/>
      <c r="N4" s="586"/>
      <c r="O4" s="586"/>
      <c r="P4" s="587"/>
      <c r="Q4" s="587"/>
    </row>
    <row r="5" spans="1:17" ht="25.5" customHeight="1">
      <c r="A5" s="49"/>
      <c r="B5" s="3140" t="s">
        <v>1831</v>
      </c>
      <c r="C5" s="624"/>
      <c r="D5" s="617" t="s">
        <v>1657</v>
      </c>
      <c r="E5" s="664" t="s">
        <v>1659</v>
      </c>
      <c r="F5" s="664" t="s">
        <v>1662</v>
      </c>
      <c r="G5" s="664" t="s">
        <v>1669</v>
      </c>
      <c r="H5" s="664" t="s">
        <v>1663</v>
      </c>
      <c r="I5" s="664" t="s">
        <v>1665</v>
      </c>
      <c r="J5" s="664" t="s">
        <v>1670</v>
      </c>
      <c r="K5" s="664" t="s">
        <v>1659</v>
      </c>
      <c r="L5" s="5"/>
      <c r="M5" s="613"/>
      <c r="N5" s="586"/>
      <c r="O5" s="586"/>
      <c r="P5" s="587"/>
      <c r="Q5" s="587"/>
    </row>
    <row r="6" spans="1:17" ht="15" customHeight="1">
      <c r="A6" s="49"/>
      <c r="B6" s="3141"/>
      <c r="C6" s="624"/>
      <c r="D6" s="617" t="s">
        <v>1545</v>
      </c>
      <c r="E6" s="1494" t="s">
        <v>1538</v>
      </c>
      <c r="F6" s="615" t="s">
        <v>1538</v>
      </c>
      <c r="G6" s="615" t="s">
        <v>1538</v>
      </c>
      <c r="H6" s="615" t="s">
        <v>1538</v>
      </c>
      <c r="I6" s="619" t="s">
        <v>1538</v>
      </c>
      <c r="J6" s="619" t="s">
        <v>1538</v>
      </c>
      <c r="K6" s="619" t="s">
        <v>1538</v>
      </c>
      <c r="L6" s="5"/>
      <c r="M6" s="613"/>
      <c r="N6" s="586"/>
      <c r="O6" s="586"/>
      <c r="P6" s="587"/>
      <c r="Q6" s="587"/>
    </row>
    <row r="7" spans="1:17" ht="15" customHeight="1">
      <c r="A7" s="49"/>
      <c r="B7" s="149"/>
      <c r="C7" s="624"/>
      <c r="D7" s="617" t="s">
        <v>1671</v>
      </c>
      <c r="E7" s="615" t="s">
        <v>1661</v>
      </c>
      <c r="F7" s="615" t="s">
        <v>1661</v>
      </c>
      <c r="G7" s="746" t="s">
        <v>1672</v>
      </c>
      <c r="H7" s="615" t="s">
        <v>1661</v>
      </c>
      <c r="I7" s="736" t="s">
        <v>1664</v>
      </c>
      <c r="J7" s="619" t="s">
        <v>1660</v>
      </c>
      <c r="K7" s="619" t="s">
        <v>1660</v>
      </c>
      <c r="L7" s="5"/>
      <c r="M7" s="613"/>
      <c r="N7" s="586"/>
      <c r="O7" s="586"/>
      <c r="P7" s="587"/>
      <c r="Q7" s="587"/>
    </row>
    <row r="8" spans="1:17" ht="15" customHeight="1">
      <c r="A8" s="49"/>
      <c r="B8" s="659" t="s">
        <v>1697</v>
      </c>
      <c r="C8" s="624"/>
      <c r="D8" s="685" t="s">
        <v>1658</v>
      </c>
      <c r="E8" s="745" t="s">
        <v>1667</v>
      </c>
      <c r="F8" s="745" t="s">
        <v>1667</v>
      </c>
      <c r="G8" s="745" t="s">
        <v>1667</v>
      </c>
      <c r="H8" s="745" t="s">
        <v>1667</v>
      </c>
      <c r="I8" s="745" t="s">
        <v>1668</v>
      </c>
      <c r="J8" s="745" t="s">
        <v>1667</v>
      </c>
      <c r="K8" s="745" t="s">
        <v>1666</v>
      </c>
      <c r="L8" s="5"/>
      <c r="M8" s="613"/>
      <c r="N8" s="586"/>
      <c r="O8" s="586"/>
      <c r="P8" s="587"/>
      <c r="Q8" s="587"/>
    </row>
    <row r="9" spans="1:17" ht="1.5" hidden="1" customHeight="1">
      <c r="A9" s="49"/>
      <c r="B9" s="659"/>
      <c r="C9" s="624"/>
      <c r="D9" s="1">
        <v>100</v>
      </c>
      <c r="E9" s="681">
        <f t="shared" ref="E9:K9" si="0">MIN(E10:E119)</f>
        <v>18825911</v>
      </c>
      <c r="F9" s="681">
        <f t="shared" si="0"/>
        <v>14073591</v>
      </c>
      <c r="G9" s="681">
        <f t="shared" si="0"/>
        <v>20990360</v>
      </c>
      <c r="H9" s="681">
        <f t="shared" si="0"/>
        <v>11412381</v>
      </c>
      <c r="I9" s="681">
        <f t="shared" si="0"/>
        <v>2727593</v>
      </c>
      <c r="J9" s="681">
        <f t="shared" si="0"/>
        <v>3468304</v>
      </c>
      <c r="K9" s="681">
        <f t="shared" si="0"/>
        <v>17039360</v>
      </c>
      <c r="L9" s="5"/>
      <c r="M9" s="613"/>
      <c r="N9" s="586"/>
      <c r="O9" s="586"/>
      <c r="P9" s="587"/>
      <c r="Q9" s="587"/>
    </row>
    <row r="10" spans="1:17" ht="18">
      <c r="A10" s="49"/>
      <c r="B10" s="52" t="s">
        <v>1608</v>
      </c>
      <c r="C10" s="721"/>
      <c r="D10" s="737">
        <f t="shared" ref="D10:D15" si="1">SUM(E10/E$9,F10/F$9,G10/G$9,H10/H$9,I10/I$9,J10/J$9,K10/K$9)/7*100</f>
        <v>340.39192578178444</v>
      </c>
      <c r="E10" s="679">
        <v>53780338</v>
      </c>
      <c r="F10" s="641">
        <v>36671858</v>
      </c>
      <c r="G10" s="679">
        <v>35979426</v>
      </c>
      <c r="H10" s="680">
        <v>36615988</v>
      </c>
      <c r="I10" s="641">
        <v>17977420</v>
      </c>
      <c r="J10" s="641">
        <v>13970836</v>
      </c>
      <c r="K10" s="641">
        <v>48108320</v>
      </c>
      <c r="L10" s="5"/>
      <c r="M10" s="588"/>
      <c r="N10" s="589"/>
      <c r="O10" s="590"/>
      <c r="P10" s="591"/>
      <c r="Q10" s="53"/>
    </row>
    <row r="11" spans="1:17" ht="18">
      <c r="A11" s="592"/>
      <c r="B11" s="752" t="s">
        <v>1717</v>
      </c>
      <c r="C11" s="182" t="s">
        <v>46</v>
      </c>
      <c r="D11" s="737">
        <f>SUM(E11/E$9,F11/F$9,G11/G$9,H11/H$9,I11/I$9,J11/J$9,K11/K$9)/7*100</f>
        <v>102.01008635447457</v>
      </c>
      <c r="E11" s="726">
        <v>19096338</v>
      </c>
      <c r="F11" s="639">
        <v>14073591</v>
      </c>
      <c r="G11" s="639">
        <v>21589000</v>
      </c>
      <c r="H11" s="639">
        <v>11575612</v>
      </c>
      <c r="I11" s="647">
        <v>2777230</v>
      </c>
      <c r="J11" s="647">
        <v>3670677</v>
      </c>
      <c r="K11" s="647">
        <v>17158147</v>
      </c>
      <c r="L11" s="5"/>
      <c r="M11" s="593"/>
      <c r="N11" s="594"/>
      <c r="O11" s="595"/>
      <c r="P11" s="596"/>
      <c r="Q11" s="53"/>
    </row>
    <row r="12" spans="1:17" ht="18">
      <c r="A12" s="592"/>
      <c r="B12" s="756" t="s">
        <v>1555</v>
      </c>
      <c r="C12" s="182" t="s">
        <v>46</v>
      </c>
      <c r="D12" s="737">
        <f>SUM(E12/E$9,F12/F$9,G12/G$9,H12/H$9,I12/I$9,J12/J$9,K12/K$9)/7*100</f>
        <v>102.75778574733054</v>
      </c>
      <c r="E12" s="63">
        <v>18825911</v>
      </c>
      <c r="F12" s="740">
        <v>14395230</v>
      </c>
      <c r="G12" s="740">
        <v>21837349</v>
      </c>
      <c r="H12" s="740">
        <v>11692010</v>
      </c>
      <c r="I12" s="222">
        <v>2727593</v>
      </c>
      <c r="J12" s="794">
        <v>3765389</v>
      </c>
      <c r="K12" s="794">
        <v>17374698</v>
      </c>
      <c r="L12" s="5"/>
      <c r="M12" s="593"/>
      <c r="N12" s="594"/>
      <c r="O12" s="595"/>
      <c r="P12" s="596"/>
      <c r="Q12" s="53"/>
    </row>
    <row r="13" spans="1:17" ht="18">
      <c r="A13" s="592"/>
      <c r="B13" s="752" t="s">
        <v>1242</v>
      </c>
      <c r="C13" s="182" t="s">
        <v>46</v>
      </c>
      <c r="D13" s="737">
        <f t="shared" si="1"/>
        <v>103.95307323619718</v>
      </c>
      <c r="E13" s="727">
        <v>19072693</v>
      </c>
      <c r="F13" s="738">
        <v>14521419</v>
      </c>
      <c r="G13" s="738">
        <v>22042204</v>
      </c>
      <c r="H13" s="738">
        <v>11818184</v>
      </c>
      <c r="I13" s="739">
        <v>2779325</v>
      </c>
      <c r="J13" s="647">
        <v>3806155</v>
      </c>
      <c r="K13" s="647">
        <v>17546109</v>
      </c>
      <c r="L13" s="5"/>
      <c r="M13" s="593"/>
      <c r="N13" s="594"/>
      <c r="O13" s="595"/>
      <c r="P13" s="596"/>
      <c r="Q13" s="53"/>
    </row>
    <row r="14" spans="1:17" ht="18">
      <c r="A14" s="592"/>
      <c r="B14" s="752" t="s">
        <v>1566</v>
      </c>
      <c r="C14" s="148"/>
      <c r="D14" s="737">
        <f t="shared" si="1"/>
        <v>106.06986546943484</v>
      </c>
      <c r="E14" s="674">
        <v>20254732</v>
      </c>
      <c r="F14" s="675">
        <v>14381795</v>
      </c>
      <c r="G14" s="675">
        <v>21993285</v>
      </c>
      <c r="H14" s="675">
        <v>12143448</v>
      </c>
      <c r="I14" s="676">
        <v>2886783</v>
      </c>
      <c r="J14" s="647">
        <v>3896534</v>
      </c>
      <c r="K14" s="647">
        <v>17608864</v>
      </c>
      <c r="L14" s="5"/>
      <c r="M14" s="593"/>
      <c r="N14" s="594"/>
      <c r="O14" s="595"/>
      <c r="P14" s="596"/>
      <c r="Q14" s="53"/>
    </row>
    <row r="15" spans="1:17" ht="18">
      <c r="A15" s="592"/>
      <c r="B15" s="637" t="s">
        <v>896</v>
      </c>
      <c r="C15" s="158"/>
      <c r="D15" s="737">
        <f t="shared" si="1"/>
        <v>106.63012727206144</v>
      </c>
      <c r="E15" s="795">
        <v>19698463</v>
      </c>
      <c r="F15" s="795">
        <v>14512467</v>
      </c>
      <c r="G15" s="795">
        <v>21442086</v>
      </c>
      <c r="H15" s="796">
        <v>12234859</v>
      </c>
      <c r="I15" s="647">
        <v>3438262</v>
      </c>
      <c r="J15" s="647">
        <v>3553485</v>
      </c>
      <c r="K15" s="647">
        <v>17173607</v>
      </c>
      <c r="L15" s="5"/>
      <c r="M15" s="593"/>
      <c r="N15" s="594"/>
      <c r="O15" s="595"/>
      <c r="P15" s="596"/>
      <c r="Q15" s="53"/>
    </row>
    <row r="16" spans="1:17" ht="18">
      <c r="A16" s="592"/>
      <c r="B16" s="1783" t="s">
        <v>1706</v>
      </c>
      <c r="C16" s="1780"/>
      <c r="D16" s="737">
        <f t="shared" ref="D16:D47" si="2">SUM(E16/E$9,F16/F$9,G16/G$9,H16/H$9,I16/I$9,J16/J$9,K16/K$9)/7*100</f>
        <v>106.99151027809961</v>
      </c>
      <c r="E16" s="795">
        <v>19347648</v>
      </c>
      <c r="F16" s="795">
        <v>14466136</v>
      </c>
      <c r="G16" s="795">
        <v>20990360</v>
      </c>
      <c r="H16" s="1781">
        <v>12119924</v>
      </c>
      <c r="I16" s="1782">
        <v>3727216</v>
      </c>
      <c r="J16" s="1782">
        <v>3468304</v>
      </c>
      <c r="K16" s="1782">
        <v>17129948</v>
      </c>
      <c r="L16" s="5"/>
      <c r="M16" s="593"/>
      <c r="N16" s="594"/>
      <c r="O16" s="595"/>
      <c r="P16" s="596"/>
      <c r="Q16" s="53"/>
    </row>
    <row r="17" spans="1:17" ht="18">
      <c r="A17" s="592"/>
      <c r="B17" s="2966" t="s">
        <v>913</v>
      </c>
      <c r="C17" s="2967"/>
      <c r="D17" s="737">
        <f t="shared" si="2"/>
        <v>113.91220655667227</v>
      </c>
      <c r="E17" s="2968">
        <v>20674417</v>
      </c>
      <c r="F17" s="2968">
        <v>15375974</v>
      </c>
      <c r="G17" s="2968">
        <v>22234254</v>
      </c>
      <c r="H17" s="2969">
        <v>13180970</v>
      </c>
      <c r="I17" s="2970">
        <v>3778363</v>
      </c>
      <c r="J17" s="2970">
        <v>3841788</v>
      </c>
      <c r="K17" s="2970">
        <v>18333853</v>
      </c>
      <c r="L17" s="5"/>
      <c r="M17" s="593"/>
      <c r="N17" s="594"/>
      <c r="O17" s="595"/>
      <c r="P17" s="596"/>
      <c r="Q17" s="53"/>
    </row>
    <row r="18" spans="1:17" ht="18">
      <c r="A18" s="592"/>
      <c r="B18" s="2971" t="s">
        <v>1673</v>
      </c>
      <c r="C18" s="148"/>
      <c r="D18" s="737">
        <f t="shared" si="2"/>
        <v>116.72751452513661</v>
      </c>
      <c r="E18" s="795">
        <v>20453669</v>
      </c>
      <c r="F18" s="795">
        <v>15376736</v>
      </c>
      <c r="G18" s="795">
        <v>22238844</v>
      </c>
      <c r="H18" s="1781">
        <v>13059632</v>
      </c>
      <c r="I18" s="794">
        <v>4296095</v>
      </c>
      <c r="J18" s="794">
        <v>3926848</v>
      </c>
      <c r="K18" s="794">
        <v>18415964</v>
      </c>
      <c r="L18" s="5"/>
      <c r="M18" s="593"/>
      <c r="N18" s="594"/>
      <c r="O18" s="595"/>
      <c r="P18" s="596"/>
      <c r="Q18" s="53"/>
    </row>
    <row r="19" spans="1:17" ht="18">
      <c r="A19" s="592"/>
      <c r="B19" s="802" t="s">
        <v>1674</v>
      </c>
      <c r="C19" s="1791"/>
      <c r="D19" s="737">
        <f t="shared" si="2"/>
        <v>118.09131179768507</v>
      </c>
      <c r="E19" s="795">
        <v>21868686</v>
      </c>
      <c r="F19" s="795">
        <v>15727172</v>
      </c>
      <c r="G19" s="795">
        <v>23286453</v>
      </c>
      <c r="H19" s="1781">
        <v>13622178</v>
      </c>
      <c r="I19" s="794">
        <v>3779762</v>
      </c>
      <c r="J19" s="794">
        <v>4159001</v>
      </c>
      <c r="K19" s="794">
        <v>18732298</v>
      </c>
      <c r="L19" s="5"/>
      <c r="M19" s="593"/>
      <c r="N19" s="594"/>
      <c r="O19" s="595"/>
      <c r="P19" s="596"/>
      <c r="Q19" s="53"/>
    </row>
    <row r="20" spans="1:17" ht="18">
      <c r="A20" s="592"/>
      <c r="B20" s="1790" t="s">
        <v>1718</v>
      </c>
      <c r="C20" s="1791"/>
      <c r="D20" s="737">
        <f t="shared" si="2"/>
        <v>119.56100864610235</v>
      </c>
      <c r="E20" s="795">
        <v>21364656</v>
      </c>
      <c r="F20" s="795">
        <v>15869204</v>
      </c>
      <c r="G20" s="795">
        <v>22871180</v>
      </c>
      <c r="H20" s="1781">
        <v>13596580</v>
      </c>
      <c r="I20" s="794">
        <v>4198872</v>
      </c>
      <c r="J20" s="794">
        <v>4137888</v>
      </c>
      <c r="K20" s="794">
        <v>18630380</v>
      </c>
      <c r="L20" s="5"/>
      <c r="M20" s="593"/>
      <c r="N20" s="594"/>
      <c r="O20" s="595"/>
      <c r="P20" s="596"/>
      <c r="Q20" s="53"/>
    </row>
    <row r="21" spans="1:17" ht="18">
      <c r="A21" s="592"/>
      <c r="B21" s="1809" t="s">
        <v>1678</v>
      </c>
      <c r="C21" s="1791"/>
      <c r="D21" s="737">
        <f t="shared" si="2"/>
        <v>120.40962820394765</v>
      </c>
      <c r="E21" s="795">
        <v>22060363</v>
      </c>
      <c r="F21" s="795">
        <v>16150521</v>
      </c>
      <c r="G21" s="795">
        <v>23384791</v>
      </c>
      <c r="H21" s="1781">
        <v>13893099</v>
      </c>
      <c r="I21" s="794">
        <v>3830395</v>
      </c>
      <c r="J21" s="794">
        <v>4271589</v>
      </c>
      <c r="K21" s="794">
        <v>19457666</v>
      </c>
      <c r="L21" s="5"/>
      <c r="M21" s="593"/>
      <c r="N21" s="594"/>
      <c r="O21" s="595"/>
      <c r="P21" s="596"/>
      <c r="Q21" s="53"/>
    </row>
    <row r="22" spans="1:17" ht="18">
      <c r="A22" s="592"/>
      <c r="B22" s="1790" t="s">
        <v>1712</v>
      </c>
      <c r="C22" s="1791"/>
      <c r="D22" s="737">
        <f t="shared" si="2"/>
        <v>121.87543820514144</v>
      </c>
      <c r="E22" s="795">
        <v>22159805</v>
      </c>
      <c r="F22" s="795">
        <v>16136255</v>
      </c>
      <c r="G22" s="795">
        <v>22912266</v>
      </c>
      <c r="H22" s="1781">
        <v>13696442</v>
      </c>
      <c r="I22" s="794">
        <v>4265713</v>
      </c>
      <c r="J22" s="794">
        <v>4260491</v>
      </c>
      <c r="K22" s="794">
        <v>19145566</v>
      </c>
      <c r="L22" s="5"/>
      <c r="M22" s="593"/>
      <c r="N22" s="594"/>
      <c r="O22" s="595"/>
      <c r="P22" s="596"/>
      <c r="Q22" s="53"/>
    </row>
    <row r="23" spans="1:17" ht="18">
      <c r="A23" s="592"/>
      <c r="B23" s="1790" t="s">
        <v>850</v>
      </c>
      <c r="C23" s="1791"/>
      <c r="D23" s="737">
        <f t="shared" si="2"/>
        <v>122.62559674740629</v>
      </c>
      <c r="E23" s="795">
        <v>22272365</v>
      </c>
      <c r="F23" s="795">
        <v>16462697</v>
      </c>
      <c r="G23" s="795">
        <v>23126568</v>
      </c>
      <c r="H23" s="1781">
        <v>13982858</v>
      </c>
      <c r="I23" s="794">
        <v>4110146</v>
      </c>
      <c r="J23" s="794">
        <v>4334147</v>
      </c>
      <c r="K23" s="794">
        <v>19551578</v>
      </c>
      <c r="L23" s="5"/>
      <c r="M23" s="593"/>
      <c r="N23" s="594"/>
      <c r="O23" s="595"/>
      <c r="P23" s="596"/>
      <c r="Q23" s="53"/>
    </row>
    <row r="24" spans="1:17" ht="18">
      <c r="A24" s="592"/>
      <c r="B24" s="1793" t="s">
        <v>1675</v>
      </c>
      <c r="C24" s="1791"/>
      <c r="D24" s="737">
        <f t="shared" si="2"/>
        <v>122.72879714792266</v>
      </c>
      <c r="E24" s="795">
        <v>21484202</v>
      </c>
      <c r="F24" s="795">
        <v>15945381</v>
      </c>
      <c r="G24" s="795">
        <v>23189222</v>
      </c>
      <c r="H24" s="1781">
        <v>13724098</v>
      </c>
      <c r="I24" s="794">
        <v>4493652</v>
      </c>
      <c r="J24" s="794">
        <v>4285410</v>
      </c>
      <c r="K24" s="794">
        <v>19193518</v>
      </c>
      <c r="L24" s="5"/>
      <c r="M24" s="593"/>
      <c r="N24" s="594"/>
      <c r="O24" s="595"/>
      <c r="P24" s="596"/>
      <c r="Q24" s="53"/>
    </row>
    <row r="25" spans="1:17" ht="18">
      <c r="A25" s="592"/>
      <c r="B25" s="1805" t="s">
        <v>1734</v>
      </c>
      <c r="C25" s="1810" t="s">
        <v>46</v>
      </c>
      <c r="D25" s="737">
        <f t="shared" si="2"/>
        <v>123.47357143526456</v>
      </c>
      <c r="E25" s="795">
        <v>21368081</v>
      </c>
      <c r="F25" s="795">
        <v>15975143</v>
      </c>
      <c r="G25" s="795">
        <v>23637705</v>
      </c>
      <c r="H25" s="1781">
        <v>13745407</v>
      </c>
      <c r="I25" s="794">
        <v>4619731</v>
      </c>
      <c r="J25" s="794">
        <v>4261898</v>
      </c>
      <c r="K25" s="794">
        <v>19082930</v>
      </c>
      <c r="L25" s="5"/>
      <c r="M25" s="593"/>
      <c r="N25" s="594"/>
      <c r="O25" s="595"/>
      <c r="P25" s="596"/>
      <c r="Q25" s="53"/>
    </row>
    <row r="26" spans="1:17" ht="18">
      <c r="A26" s="592"/>
      <c r="B26" s="1805" t="s">
        <v>1735</v>
      </c>
      <c r="C26" s="1810" t="s">
        <v>46</v>
      </c>
      <c r="D26" s="737">
        <f t="shared" si="2"/>
        <v>123.55316640945342</v>
      </c>
      <c r="E26" s="795">
        <v>21330104</v>
      </c>
      <c r="F26" s="795">
        <v>15948623</v>
      </c>
      <c r="G26" s="795">
        <v>23613625</v>
      </c>
      <c r="H26" s="1781">
        <v>13721964</v>
      </c>
      <c r="I26" s="794">
        <v>4655754</v>
      </c>
      <c r="J26" s="794">
        <v>4270353</v>
      </c>
      <c r="K26" s="794">
        <v>19032323</v>
      </c>
      <c r="L26" s="5"/>
      <c r="M26" s="593"/>
      <c r="N26" s="594"/>
      <c r="O26" s="595"/>
      <c r="P26" s="596"/>
      <c r="Q26" s="53"/>
    </row>
    <row r="27" spans="1:17" ht="18">
      <c r="A27" s="592"/>
      <c r="B27" s="2972" t="s">
        <v>1909</v>
      </c>
      <c r="C27" s="2967"/>
      <c r="D27" s="737">
        <f t="shared" si="2"/>
        <v>123.74704784643289</v>
      </c>
      <c r="E27" s="2968">
        <v>22567517</v>
      </c>
      <c r="F27" s="2968">
        <v>16456719</v>
      </c>
      <c r="G27" s="2968">
        <v>22891996</v>
      </c>
      <c r="H27" s="2969">
        <v>14142582</v>
      </c>
      <c r="I27" s="2970">
        <v>4193161</v>
      </c>
      <c r="J27" s="2970">
        <v>4484481</v>
      </c>
      <c r="K27" s="2970">
        <v>19324061</v>
      </c>
      <c r="L27" s="5"/>
      <c r="M27" s="593"/>
      <c r="N27" s="594"/>
      <c r="O27" s="595"/>
      <c r="P27" s="596"/>
      <c r="Q27" s="53"/>
    </row>
    <row r="28" spans="1:17" ht="18">
      <c r="A28" s="592"/>
      <c r="B28" s="1790" t="s">
        <v>898</v>
      </c>
      <c r="C28" s="1810" t="s">
        <v>46</v>
      </c>
      <c r="D28" s="737">
        <f t="shared" si="2"/>
        <v>124.31424492323242</v>
      </c>
      <c r="E28" s="795">
        <v>22589106</v>
      </c>
      <c r="F28" s="795">
        <v>16093086</v>
      </c>
      <c r="G28" s="795">
        <v>24040325</v>
      </c>
      <c r="H28" s="1781">
        <v>14187200</v>
      </c>
      <c r="I28" s="1792">
        <v>4323726</v>
      </c>
      <c r="J28" s="1792">
        <v>4337379</v>
      </c>
      <c r="K28" s="1792">
        <v>19329564</v>
      </c>
      <c r="L28" s="5"/>
      <c r="M28" s="593"/>
      <c r="N28" s="594"/>
      <c r="O28" s="595"/>
      <c r="P28" s="596"/>
      <c r="Q28" s="53"/>
    </row>
    <row r="29" spans="1:17" ht="18">
      <c r="A29" s="592"/>
      <c r="B29" s="752" t="s">
        <v>1726</v>
      </c>
      <c r="C29" s="791"/>
      <c r="D29" s="737">
        <f t="shared" si="2"/>
        <v>125.04346921549308</v>
      </c>
      <c r="E29" s="795">
        <v>21992636</v>
      </c>
      <c r="F29" s="795">
        <v>16074537</v>
      </c>
      <c r="G29" s="806">
        <v>24090994</v>
      </c>
      <c r="H29" s="797">
        <v>13855757</v>
      </c>
      <c r="I29" s="702">
        <v>4690547</v>
      </c>
      <c r="J29" s="702">
        <v>4304599</v>
      </c>
      <c r="K29" s="702">
        <v>19084908</v>
      </c>
      <c r="L29" s="5"/>
      <c r="M29" s="593"/>
      <c r="N29" s="594"/>
      <c r="O29" s="595"/>
      <c r="P29" s="596"/>
      <c r="Q29" s="53"/>
    </row>
    <row r="30" spans="1:17" ht="18">
      <c r="A30" s="592"/>
      <c r="B30" s="756" t="s">
        <v>1511</v>
      </c>
      <c r="C30" s="150" t="s">
        <v>46</v>
      </c>
      <c r="D30" s="737">
        <f t="shared" si="2"/>
        <v>125.62432177916654</v>
      </c>
      <c r="E30" s="807">
        <v>22440627</v>
      </c>
      <c r="F30" s="807">
        <v>16546052</v>
      </c>
      <c r="G30" s="808">
        <v>23607372</v>
      </c>
      <c r="H30" s="818">
        <v>14187150</v>
      </c>
      <c r="I30" s="804">
        <v>4507252</v>
      </c>
      <c r="J30" s="804">
        <v>4381385</v>
      </c>
      <c r="K30" s="804">
        <v>19466977</v>
      </c>
      <c r="L30" s="5"/>
      <c r="M30" s="593"/>
      <c r="N30" s="594"/>
      <c r="O30" s="595"/>
      <c r="P30" s="596"/>
      <c r="Q30" s="53"/>
    </row>
    <row r="31" spans="1:17" ht="18">
      <c r="A31" s="592"/>
      <c r="B31" s="756" t="s">
        <v>1510</v>
      </c>
      <c r="C31" s="150" t="s">
        <v>46</v>
      </c>
      <c r="D31" s="737">
        <f t="shared" si="2"/>
        <v>125.82029609998648</v>
      </c>
      <c r="E31" s="807">
        <v>22410291</v>
      </c>
      <c r="F31" s="807">
        <v>16248352</v>
      </c>
      <c r="G31" s="808">
        <v>23886837</v>
      </c>
      <c r="H31" s="817">
        <v>14204602</v>
      </c>
      <c r="I31" s="804">
        <v>4579636</v>
      </c>
      <c r="J31" s="804">
        <v>4380579</v>
      </c>
      <c r="K31" s="804">
        <v>19387475</v>
      </c>
      <c r="L31" s="5"/>
      <c r="M31" s="593"/>
      <c r="N31" s="594"/>
      <c r="O31" s="595"/>
      <c r="P31" s="596"/>
      <c r="Q31" s="53"/>
    </row>
    <row r="32" spans="1:17" ht="18">
      <c r="A32" s="592"/>
      <c r="B32" s="1806" t="s">
        <v>1716</v>
      </c>
      <c r="C32" s="791"/>
      <c r="D32" s="737">
        <f t="shared" si="2"/>
        <v>125.98535015241666</v>
      </c>
      <c r="E32" s="807">
        <v>22451698</v>
      </c>
      <c r="F32" s="807">
        <v>16461847</v>
      </c>
      <c r="G32" s="808">
        <v>23951961</v>
      </c>
      <c r="H32" s="809">
        <v>14164124</v>
      </c>
      <c r="I32" s="804">
        <v>4539422</v>
      </c>
      <c r="J32" s="804">
        <v>4421585</v>
      </c>
      <c r="K32" s="804">
        <v>19345712</v>
      </c>
      <c r="L32" s="5"/>
      <c r="M32" s="593"/>
      <c r="N32" s="594"/>
      <c r="O32" s="595"/>
      <c r="P32" s="596"/>
      <c r="Q32" s="53"/>
    </row>
    <row r="33" spans="1:17" ht="18">
      <c r="A33" s="592"/>
      <c r="B33" s="750" t="s">
        <v>1546</v>
      </c>
      <c r="C33" s="791"/>
      <c r="D33" s="737">
        <f t="shared" si="2"/>
        <v>127.54615074335331</v>
      </c>
      <c r="E33" s="795">
        <v>23538119</v>
      </c>
      <c r="F33" s="795">
        <v>17640667</v>
      </c>
      <c r="G33" s="806">
        <v>26645409</v>
      </c>
      <c r="H33" s="806">
        <v>14880706</v>
      </c>
      <c r="I33" s="804">
        <v>3383054</v>
      </c>
      <c r="J33" s="804">
        <v>4766228</v>
      </c>
      <c r="K33" s="804">
        <v>21071124</v>
      </c>
      <c r="L33" s="5"/>
      <c r="M33" s="593"/>
      <c r="N33" s="594"/>
      <c r="O33" s="595"/>
      <c r="P33" s="596"/>
      <c r="Q33" s="53"/>
    </row>
    <row r="34" spans="1:17" ht="18">
      <c r="A34" s="592"/>
      <c r="B34" s="756" t="s">
        <v>897</v>
      </c>
      <c r="C34" s="791"/>
      <c r="D34" s="737">
        <f t="shared" si="2"/>
        <v>127.98093151252246</v>
      </c>
      <c r="E34" s="63">
        <v>22184927</v>
      </c>
      <c r="F34" s="740">
        <v>16351051</v>
      </c>
      <c r="G34" s="805">
        <v>23972366</v>
      </c>
      <c r="H34" s="805">
        <v>14102175</v>
      </c>
      <c r="I34" s="702">
        <v>4969366</v>
      </c>
      <c r="J34" s="702">
        <v>4441824</v>
      </c>
      <c r="K34" s="702">
        <v>19392175</v>
      </c>
      <c r="L34" s="5"/>
      <c r="M34" s="593"/>
      <c r="N34" s="594"/>
      <c r="O34" s="595"/>
      <c r="P34" s="596"/>
      <c r="Q34" s="53"/>
    </row>
    <row r="35" spans="1:17" ht="18">
      <c r="A35" s="597"/>
      <c r="B35" s="752" t="s">
        <v>1730</v>
      </c>
      <c r="C35" s="142"/>
      <c r="D35" s="737">
        <f t="shared" si="2"/>
        <v>128.50285750108083</v>
      </c>
      <c r="E35" s="728">
        <v>21837609</v>
      </c>
      <c r="F35" s="713">
        <v>16694027</v>
      </c>
      <c r="G35" s="713">
        <v>24630068</v>
      </c>
      <c r="H35" s="713">
        <v>14205306</v>
      </c>
      <c r="I35" s="713">
        <v>4848081</v>
      </c>
      <c r="J35" s="713">
        <v>4503624</v>
      </c>
      <c r="K35" s="713">
        <v>19679982</v>
      </c>
      <c r="L35" s="741"/>
      <c r="M35" s="598"/>
      <c r="N35" s="599"/>
      <c r="O35" s="595"/>
      <c r="P35" s="596"/>
      <c r="Q35" s="53"/>
    </row>
    <row r="36" spans="1:17" ht="18">
      <c r="A36" s="597"/>
      <c r="B36" s="753" t="s">
        <v>1505</v>
      </c>
      <c r="C36" s="654" t="s">
        <v>46</v>
      </c>
      <c r="D36" s="737">
        <f t="shared" si="2"/>
        <v>128.77037975123994</v>
      </c>
      <c r="E36" s="728">
        <v>23212800</v>
      </c>
      <c r="F36" s="713">
        <v>16504328</v>
      </c>
      <c r="G36" s="713">
        <v>24588531</v>
      </c>
      <c r="H36" s="713">
        <v>14225236</v>
      </c>
      <c r="I36" s="709">
        <v>4756855</v>
      </c>
      <c r="J36" s="690">
        <v>4570422</v>
      </c>
      <c r="K36" s="702">
        <v>19229741</v>
      </c>
      <c r="L36" s="7"/>
      <c r="M36" s="598"/>
      <c r="N36" s="599"/>
      <c r="O36" s="595"/>
      <c r="P36" s="596"/>
      <c r="Q36" s="53"/>
    </row>
    <row r="37" spans="1:17" ht="18">
      <c r="A37" s="597"/>
      <c r="B37" s="628" t="s">
        <v>1732</v>
      </c>
      <c r="C37" s="161" t="s">
        <v>46</v>
      </c>
      <c r="D37" s="737">
        <f t="shared" si="2"/>
        <v>128.84927108303361</v>
      </c>
      <c r="E37" s="728">
        <v>21838172</v>
      </c>
      <c r="F37" s="713">
        <v>16694445</v>
      </c>
      <c r="G37" s="713">
        <v>24631152</v>
      </c>
      <c r="H37" s="713">
        <v>14205687</v>
      </c>
      <c r="I37" s="714">
        <v>4848181</v>
      </c>
      <c r="J37" s="714">
        <v>4586998</v>
      </c>
      <c r="K37" s="714">
        <v>19680473</v>
      </c>
      <c r="L37" s="5"/>
      <c r="M37" s="598"/>
      <c r="N37" s="600"/>
      <c r="O37" s="595"/>
      <c r="P37" s="596"/>
      <c r="Q37" s="53"/>
    </row>
    <row r="38" spans="1:17" ht="18">
      <c r="A38" s="597"/>
      <c r="B38" s="756" t="s">
        <v>1589</v>
      </c>
      <c r="C38" s="791"/>
      <c r="D38" s="737">
        <f t="shared" si="2"/>
        <v>129.00244412797448</v>
      </c>
      <c r="E38" s="728">
        <v>24825846</v>
      </c>
      <c r="F38" s="713">
        <v>17878608</v>
      </c>
      <c r="G38" s="713">
        <v>24982132</v>
      </c>
      <c r="H38" s="713">
        <v>15506943</v>
      </c>
      <c r="I38" s="742">
        <v>3253794</v>
      </c>
      <c r="J38" s="700">
        <v>5008216</v>
      </c>
      <c r="K38" s="700">
        <v>21388343</v>
      </c>
      <c r="L38" s="5"/>
      <c r="M38" s="598"/>
      <c r="N38" s="600"/>
      <c r="O38" s="595"/>
      <c r="P38" s="596"/>
      <c r="Q38" s="53"/>
    </row>
    <row r="39" spans="1:17" ht="18" customHeight="1">
      <c r="A39" s="597"/>
      <c r="B39" s="2973" t="s">
        <v>1719</v>
      </c>
      <c r="C39" s="142"/>
      <c r="D39" s="737">
        <f t="shared" si="2"/>
        <v>129.02308396812566</v>
      </c>
      <c r="E39" s="728">
        <v>23606803</v>
      </c>
      <c r="F39" s="713">
        <f>40613990-23606803</f>
        <v>17007187</v>
      </c>
      <c r="G39" s="713">
        <v>24634808</v>
      </c>
      <c r="H39" s="713">
        <v>14861391</v>
      </c>
      <c r="I39" s="742">
        <v>4358494</v>
      </c>
      <c r="J39" s="700">
        <v>4495766</v>
      </c>
      <c r="K39" s="700">
        <v>20433681</v>
      </c>
      <c r="L39" s="5"/>
      <c r="M39" s="598"/>
      <c r="N39" s="600"/>
      <c r="O39" s="595"/>
      <c r="P39" s="596"/>
      <c r="Q39" s="53"/>
    </row>
    <row r="40" spans="1:17" ht="18" customHeight="1">
      <c r="A40" s="597"/>
      <c r="B40" s="753" t="s">
        <v>1891</v>
      </c>
      <c r="C40" s="1811"/>
      <c r="D40" s="737">
        <f t="shared" si="2"/>
        <v>130.16032368992791</v>
      </c>
      <c r="E40" s="728">
        <v>22447414</v>
      </c>
      <c r="F40" s="713">
        <v>16694402</v>
      </c>
      <c r="G40" s="713">
        <v>24629998</v>
      </c>
      <c r="H40" s="713">
        <v>14601650</v>
      </c>
      <c r="I40" s="742">
        <v>4848122</v>
      </c>
      <c r="J40" s="700">
        <v>4673003</v>
      </c>
      <c r="K40" s="700">
        <v>19680441</v>
      </c>
      <c r="L40" s="5"/>
      <c r="M40" s="598"/>
      <c r="N40" s="600"/>
      <c r="O40" s="595"/>
      <c r="P40" s="596"/>
      <c r="Q40" s="53"/>
    </row>
    <row r="41" spans="1:17" ht="18" customHeight="1">
      <c r="A41" s="597" t="s">
        <v>1517</v>
      </c>
      <c r="B41" s="753" t="s">
        <v>1504</v>
      </c>
      <c r="C41" s="144" t="s">
        <v>46</v>
      </c>
      <c r="D41" s="737">
        <f t="shared" si="2"/>
        <v>130.21884518888254</v>
      </c>
      <c r="E41" s="701">
        <v>23424508</v>
      </c>
      <c r="F41" s="709">
        <v>16803492</v>
      </c>
      <c r="G41" s="709">
        <v>24649840</v>
      </c>
      <c r="H41" s="709">
        <v>14380556</v>
      </c>
      <c r="I41" s="714">
        <v>4815630</v>
      </c>
      <c r="J41" s="714">
        <v>4601934</v>
      </c>
      <c r="K41" s="714">
        <v>19599926</v>
      </c>
      <c r="L41" s="5"/>
      <c r="M41" s="598"/>
      <c r="N41" s="599"/>
      <c r="O41" s="595"/>
      <c r="P41" s="596"/>
      <c r="Q41" s="53"/>
    </row>
    <row r="42" spans="1:17" ht="18">
      <c r="A42" s="597"/>
      <c r="B42" s="753" t="s">
        <v>1590</v>
      </c>
      <c r="C42" s="142"/>
      <c r="D42" s="737">
        <f t="shared" si="2"/>
        <v>131.07759791932091</v>
      </c>
      <c r="E42" s="729">
        <v>23474767</v>
      </c>
      <c r="F42" s="743">
        <v>16530729</v>
      </c>
      <c r="G42" s="743">
        <v>24384871</v>
      </c>
      <c r="H42" s="743">
        <v>14487093</v>
      </c>
      <c r="I42" s="714">
        <v>5082666</v>
      </c>
      <c r="J42" s="714">
        <v>4543439</v>
      </c>
      <c r="K42" s="714">
        <v>19584186</v>
      </c>
      <c r="L42" s="5"/>
      <c r="M42" s="593"/>
      <c r="N42" s="594"/>
      <c r="O42" s="595"/>
      <c r="P42" s="596"/>
      <c r="Q42" s="53"/>
    </row>
    <row r="43" spans="1:17" ht="18">
      <c r="A43" s="597"/>
      <c r="B43" s="753" t="s">
        <v>937</v>
      </c>
      <c r="C43" s="61"/>
      <c r="D43" s="737">
        <f t="shared" si="2"/>
        <v>131.97436435658435</v>
      </c>
      <c r="E43" s="728">
        <v>24084173</v>
      </c>
      <c r="F43" s="713">
        <v>16893280</v>
      </c>
      <c r="G43" s="713">
        <v>26224697</v>
      </c>
      <c r="H43" s="713">
        <v>14464551</v>
      </c>
      <c r="I43" s="714">
        <v>4776589</v>
      </c>
      <c r="J43" s="714">
        <v>4547118</v>
      </c>
      <c r="K43" s="714">
        <v>20097420</v>
      </c>
      <c r="L43" s="5"/>
      <c r="M43" s="593"/>
      <c r="N43" s="594"/>
      <c r="O43" s="595"/>
      <c r="P43" s="596"/>
      <c r="Q43" s="53"/>
    </row>
    <row r="44" spans="1:17" ht="18">
      <c r="A44" s="597"/>
      <c r="B44" s="752" t="s">
        <v>1506</v>
      </c>
      <c r="C44" s="59"/>
      <c r="D44" s="737">
        <f t="shared" si="2"/>
        <v>132.03059506721641</v>
      </c>
      <c r="E44" s="728">
        <v>23212800</v>
      </c>
      <c r="F44" s="713">
        <v>17860931</v>
      </c>
      <c r="G44" s="713">
        <v>24708460</v>
      </c>
      <c r="H44" s="713">
        <v>14225236</v>
      </c>
      <c r="I44" s="714">
        <v>4756855</v>
      </c>
      <c r="J44" s="714">
        <v>4570422</v>
      </c>
      <c r="K44" s="714">
        <v>21378541</v>
      </c>
      <c r="L44" s="5"/>
      <c r="M44" s="593"/>
      <c r="N44" s="594"/>
      <c r="O44" s="595"/>
      <c r="P44" s="596"/>
      <c r="Q44" s="53"/>
    </row>
    <row r="45" spans="1:17" ht="18">
      <c r="A45" s="597"/>
      <c r="B45" s="820" t="s">
        <v>1910</v>
      </c>
      <c r="C45" s="144"/>
      <c r="D45" s="737">
        <f t="shared" si="2"/>
        <v>132.09965477911368</v>
      </c>
      <c r="E45" s="728">
        <v>22589245</v>
      </c>
      <c r="F45" s="713">
        <v>16928976</v>
      </c>
      <c r="G45" s="713">
        <v>24169039</v>
      </c>
      <c r="H45" s="713">
        <v>15487582</v>
      </c>
      <c r="I45" s="714">
        <v>4878868</v>
      </c>
      <c r="J45" s="714">
        <v>4577420</v>
      </c>
      <c r="K45" s="714">
        <v>20910171</v>
      </c>
      <c r="L45" s="5"/>
      <c r="M45" s="593"/>
      <c r="N45" s="594"/>
      <c r="O45" s="595"/>
      <c r="P45" s="596"/>
      <c r="Q45" s="53"/>
    </row>
    <row r="46" spans="1:17" ht="18">
      <c r="A46" s="597"/>
      <c r="B46" s="628" t="s">
        <v>1723</v>
      </c>
      <c r="C46" s="582" t="s">
        <v>46</v>
      </c>
      <c r="D46" s="737">
        <f t="shared" si="2"/>
        <v>132.45214681007334</v>
      </c>
      <c r="E46" s="728">
        <v>22730114</v>
      </c>
      <c r="F46" s="713">
        <v>17307860</v>
      </c>
      <c r="G46" s="713">
        <v>24770362</v>
      </c>
      <c r="H46" s="713">
        <v>14744122</v>
      </c>
      <c r="I46" s="714">
        <v>5005496</v>
      </c>
      <c r="J46" s="714">
        <v>4636742</v>
      </c>
      <c r="K46" s="714">
        <v>20283782</v>
      </c>
      <c r="L46" s="5"/>
      <c r="M46" s="593"/>
      <c r="N46" s="594"/>
      <c r="O46" s="595"/>
      <c r="P46" s="596"/>
      <c r="Q46" s="53"/>
    </row>
    <row r="47" spans="1:17" ht="18">
      <c r="A47" s="597"/>
      <c r="B47" s="1829" t="s">
        <v>857</v>
      </c>
      <c r="C47" s="143"/>
      <c r="D47" s="737">
        <f t="shared" si="2"/>
        <v>134.16041588118142</v>
      </c>
      <c r="E47" s="728">
        <v>23861260</v>
      </c>
      <c r="F47" s="713">
        <v>16807268</v>
      </c>
      <c r="G47" s="713">
        <v>25463092</v>
      </c>
      <c r="H47" s="713">
        <v>14801588</v>
      </c>
      <c r="I47" s="714">
        <v>5272700</v>
      </c>
      <c r="J47" s="714">
        <v>4533320</v>
      </c>
      <c r="K47" s="714">
        <v>20094340</v>
      </c>
      <c r="L47" s="5"/>
      <c r="M47" s="593"/>
      <c r="N47" s="594"/>
      <c r="O47" s="595"/>
      <c r="P47" s="596"/>
      <c r="Q47" s="53"/>
    </row>
    <row r="48" spans="1:17" ht="18">
      <c r="A48" s="597"/>
      <c r="B48" s="628" t="s">
        <v>847</v>
      </c>
      <c r="C48" s="62"/>
      <c r="D48" s="737">
        <f t="shared" ref="D48:D52" si="3">SUM(E48/E$9,F48/F$9,G48/G$9,H48/H$9,I48/I$9,J48/J$9,K48/K$9)/7*100</f>
        <v>134.98261343090044</v>
      </c>
      <c r="E48" s="728">
        <v>22748170</v>
      </c>
      <c r="F48" s="713">
        <v>23421222</v>
      </c>
      <c r="G48" s="713">
        <v>25860797</v>
      </c>
      <c r="H48" s="713">
        <v>15257023</v>
      </c>
      <c r="I48" s="714">
        <v>4057990</v>
      </c>
      <c r="J48" s="714">
        <v>4426443</v>
      </c>
      <c r="K48" s="714">
        <v>21185317</v>
      </c>
      <c r="L48" s="5"/>
      <c r="M48" s="593"/>
      <c r="N48" s="594"/>
      <c r="O48" s="595"/>
      <c r="P48" s="596"/>
      <c r="Q48" s="53"/>
    </row>
    <row r="49" spans="1:17" ht="18">
      <c r="A49" s="597"/>
      <c r="B49" s="752" t="s">
        <v>1720</v>
      </c>
      <c r="C49" s="54" t="s">
        <v>46</v>
      </c>
      <c r="D49" s="737">
        <f t="shared" si="3"/>
        <v>137.2055738613667</v>
      </c>
      <c r="E49" s="728">
        <v>24774628</v>
      </c>
      <c r="F49" s="713">
        <v>17851305</v>
      </c>
      <c r="G49" s="713">
        <v>25058889</v>
      </c>
      <c r="H49" s="713">
        <v>16215330</v>
      </c>
      <c r="I49" s="714">
        <v>4635957</v>
      </c>
      <c r="J49" s="714">
        <v>4973128</v>
      </c>
      <c r="K49" s="714">
        <v>21670077</v>
      </c>
      <c r="L49" s="5"/>
      <c r="M49" s="593"/>
      <c r="N49" s="594"/>
      <c r="O49" s="595"/>
      <c r="P49" s="596"/>
      <c r="Q49" s="53"/>
    </row>
    <row r="50" spans="1:17" ht="18">
      <c r="A50" s="597"/>
      <c r="B50" s="628" t="s">
        <v>1685</v>
      </c>
      <c r="C50" s="60"/>
      <c r="D50" s="737">
        <f t="shared" si="3"/>
        <v>137.90851362104274</v>
      </c>
      <c r="E50" s="728">
        <v>25521887</v>
      </c>
      <c r="F50" s="713">
        <v>18793695</v>
      </c>
      <c r="G50" s="713">
        <v>25299465</v>
      </c>
      <c r="H50" s="713">
        <v>16486125</v>
      </c>
      <c r="I50" s="714">
        <v>4292459</v>
      </c>
      <c r="J50" s="714">
        <v>4948695</v>
      </c>
      <c r="K50" s="714">
        <v>22357458</v>
      </c>
      <c r="L50" s="5"/>
      <c r="M50" s="593"/>
      <c r="N50" s="594"/>
      <c r="O50" s="595"/>
      <c r="P50" s="596"/>
      <c r="Q50" s="53"/>
    </row>
    <row r="51" spans="1:17" ht="18">
      <c r="A51" s="597"/>
      <c r="B51" s="2974" t="s">
        <v>1677</v>
      </c>
      <c r="C51" s="669" t="s">
        <v>46</v>
      </c>
      <c r="D51" s="737">
        <f t="shared" si="3"/>
        <v>138.73169847245549</v>
      </c>
      <c r="E51" s="728">
        <v>27330710</v>
      </c>
      <c r="F51" s="713">
        <v>18866341</v>
      </c>
      <c r="G51" s="713">
        <v>25493824</v>
      </c>
      <c r="H51" s="713">
        <v>19316593</v>
      </c>
      <c r="I51" s="714">
        <v>3341860</v>
      </c>
      <c r="J51" s="714">
        <v>5114974</v>
      </c>
      <c r="K51" s="714">
        <v>22351875</v>
      </c>
      <c r="L51" s="5"/>
      <c r="M51" s="593"/>
      <c r="N51" s="594"/>
      <c r="O51" s="595"/>
      <c r="P51" s="596"/>
      <c r="Q51" s="53"/>
    </row>
    <row r="52" spans="1:17" ht="18">
      <c r="A52" s="597"/>
      <c r="B52" s="752" t="s">
        <v>1554</v>
      </c>
      <c r="C52" s="62"/>
      <c r="D52" s="737">
        <f t="shared" si="3"/>
        <v>139.1364476285776</v>
      </c>
      <c r="E52" s="701">
        <v>27907702</v>
      </c>
      <c r="F52" s="709">
        <v>17550489</v>
      </c>
      <c r="G52" s="709">
        <v>24769492</v>
      </c>
      <c r="H52" s="709">
        <v>18559690</v>
      </c>
      <c r="I52" s="714">
        <v>4260256</v>
      </c>
      <c r="J52" s="714">
        <v>4850441</v>
      </c>
      <c r="K52" s="714">
        <v>21186013</v>
      </c>
      <c r="L52" s="5"/>
      <c r="M52" s="593"/>
      <c r="N52" s="594"/>
      <c r="O52" s="595"/>
      <c r="P52" s="596"/>
      <c r="Q52" s="53"/>
    </row>
    <row r="53" spans="1:17" ht="18">
      <c r="A53" s="597"/>
      <c r="B53" s="752" t="s">
        <v>1681</v>
      </c>
      <c r="C53" s="59" t="s">
        <v>46</v>
      </c>
      <c r="D53" s="737">
        <f t="shared" ref="D53:D84" si="4">SUM(E53/E$9,F53/F$9,G53/G$9,H53/H$9,I53/I$9,J53/J$9,K53/K$9)/7*100</f>
        <v>139.32450822803492</v>
      </c>
      <c r="E53" s="728">
        <v>25390836</v>
      </c>
      <c r="F53" s="713">
        <v>18438012</v>
      </c>
      <c r="G53" s="713">
        <v>25344067</v>
      </c>
      <c r="H53" s="713">
        <v>16422111</v>
      </c>
      <c r="I53" s="714">
        <v>4683507</v>
      </c>
      <c r="J53" s="714">
        <v>4981416</v>
      </c>
      <c r="K53" s="714">
        <v>22051371</v>
      </c>
      <c r="L53" s="5"/>
      <c r="M53" s="593"/>
      <c r="N53" s="602"/>
      <c r="O53" s="595"/>
      <c r="P53" s="596"/>
      <c r="Q53" s="53"/>
    </row>
    <row r="54" spans="1:17" ht="18">
      <c r="A54" s="597"/>
      <c r="B54" s="750" t="s">
        <v>855</v>
      </c>
      <c r="C54" s="60" t="s">
        <v>46</v>
      </c>
      <c r="D54" s="737">
        <f t="shared" si="4"/>
        <v>140.26486819598361</v>
      </c>
      <c r="E54" s="701">
        <v>24370189</v>
      </c>
      <c r="F54" s="709">
        <v>17902544</v>
      </c>
      <c r="G54" s="709">
        <v>25674966</v>
      </c>
      <c r="H54" s="709">
        <v>15216535</v>
      </c>
      <c r="I54" s="714">
        <v>5521768</v>
      </c>
      <c r="J54" s="714">
        <v>4935879</v>
      </c>
      <c r="K54" s="714">
        <v>21263545</v>
      </c>
      <c r="L54" s="5"/>
      <c r="M54" s="593"/>
      <c r="N54" s="594"/>
      <c r="O54" s="595"/>
      <c r="P54" s="596"/>
      <c r="Q54" s="53"/>
    </row>
    <row r="55" spans="1:17" ht="18">
      <c r="A55" s="597"/>
      <c r="B55" s="753" t="s">
        <v>1512</v>
      </c>
      <c r="C55" s="142"/>
      <c r="D55" s="737">
        <f t="shared" si="4"/>
        <v>140.62825310201305</v>
      </c>
      <c r="E55" s="728">
        <v>24208250</v>
      </c>
      <c r="F55" s="713">
        <v>18122050</v>
      </c>
      <c r="G55" s="713">
        <v>25734575</v>
      </c>
      <c r="H55" s="713">
        <v>15455345</v>
      </c>
      <c r="I55" s="714">
        <v>5322946</v>
      </c>
      <c r="J55" s="714">
        <v>5099476</v>
      </c>
      <c r="K55" s="714">
        <v>21611151</v>
      </c>
      <c r="L55" s="5"/>
      <c r="M55" s="593"/>
      <c r="N55" s="594"/>
      <c r="O55" s="595"/>
      <c r="P55" s="596"/>
      <c r="Q55" s="53"/>
    </row>
    <row r="56" spans="1:17" ht="18.75">
      <c r="A56" s="597" t="s">
        <v>1519</v>
      </c>
      <c r="B56" s="753" t="s">
        <v>1515</v>
      </c>
      <c r="C56" s="146" t="s">
        <v>46</v>
      </c>
      <c r="D56" s="737">
        <f t="shared" si="4"/>
        <v>143.89508199471072</v>
      </c>
      <c r="E56" s="728">
        <v>26018806</v>
      </c>
      <c r="F56" s="713">
        <v>18725605</v>
      </c>
      <c r="G56" s="713">
        <v>26364408</v>
      </c>
      <c r="H56" s="713">
        <v>16312167</v>
      </c>
      <c r="I56" s="714">
        <v>5038034</v>
      </c>
      <c r="J56" s="714">
        <v>5298285</v>
      </c>
      <c r="K56" s="714">
        <v>22150761</v>
      </c>
      <c r="L56" s="5"/>
      <c r="M56" s="593"/>
      <c r="N56" s="599"/>
      <c r="O56" s="595"/>
      <c r="P56" s="596"/>
      <c r="Q56" s="53"/>
    </row>
    <row r="57" spans="1:17" ht="18">
      <c r="A57" s="597"/>
      <c r="B57" s="628" t="s">
        <v>1682</v>
      </c>
      <c r="C57" s="144" t="s">
        <v>46</v>
      </c>
      <c r="D57" s="737">
        <f t="shared" si="4"/>
        <v>144.06202764558017</v>
      </c>
      <c r="E57" s="701">
        <v>26258395</v>
      </c>
      <c r="F57" s="709">
        <v>18891051</v>
      </c>
      <c r="G57" s="709">
        <v>25729701</v>
      </c>
      <c r="H57" s="709">
        <v>17180713</v>
      </c>
      <c r="I57" s="714">
        <v>4835913</v>
      </c>
      <c r="J57" s="714">
        <v>5222042</v>
      </c>
      <c r="K57" s="714">
        <v>22788398</v>
      </c>
      <c r="L57" s="5"/>
      <c r="M57" s="598"/>
      <c r="N57" s="594"/>
      <c r="O57" s="595"/>
      <c r="P57" s="596"/>
      <c r="Q57" s="53"/>
    </row>
    <row r="58" spans="1:17" ht="18">
      <c r="A58" s="597" t="s">
        <v>1521</v>
      </c>
      <c r="B58" s="750" t="s">
        <v>696</v>
      </c>
      <c r="C58" s="144" t="s">
        <v>46</v>
      </c>
      <c r="D58" s="737">
        <f t="shared" si="4"/>
        <v>144.34086270001666</v>
      </c>
      <c r="E58" s="701">
        <v>25382084</v>
      </c>
      <c r="F58" s="709">
        <v>18270013</v>
      </c>
      <c r="G58" s="709">
        <v>26198652</v>
      </c>
      <c r="H58" s="709">
        <v>15730861</v>
      </c>
      <c r="I58" s="714">
        <v>5352100</v>
      </c>
      <c r="J58" s="714">
        <v>5518631</v>
      </c>
      <c r="K58" s="714">
        <v>21768333</v>
      </c>
      <c r="L58" s="5"/>
      <c r="M58" s="593"/>
      <c r="N58" s="599"/>
      <c r="O58" s="595"/>
      <c r="P58" s="596"/>
      <c r="Q58" s="53"/>
    </row>
    <row r="59" spans="1:17" ht="18">
      <c r="A59" s="597"/>
      <c r="B59" s="628" t="s">
        <v>1680</v>
      </c>
      <c r="C59" s="62"/>
      <c r="D59" s="737">
        <f t="shared" si="4"/>
        <v>144.55101024840593</v>
      </c>
      <c r="E59" s="729">
        <v>25189990</v>
      </c>
      <c r="F59" s="743">
        <v>18002622</v>
      </c>
      <c r="G59" s="743">
        <v>24622394</v>
      </c>
      <c r="H59" s="743">
        <v>15590187</v>
      </c>
      <c r="I59" s="714">
        <v>5980079</v>
      </c>
      <c r="J59" s="714">
        <v>5238694</v>
      </c>
      <c r="K59" s="714">
        <v>21458478</v>
      </c>
      <c r="L59" s="5"/>
      <c r="M59" s="593"/>
      <c r="N59" s="594"/>
      <c r="O59" s="595"/>
      <c r="P59" s="596"/>
      <c r="Q59" s="53"/>
    </row>
    <row r="60" spans="1:17" ht="18">
      <c r="A60" s="597"/>
      <c r="B60" s="752" t="s">
        <v>1508</v>
      </c>
      <c r="C60" s="60" t="s">
        <v>46</v>
      </c>
      <c r="D60" s="737">
        <f t="shared" si="4"/>
        <v>147.78665621741209</v>
      </c>
      <c r="E60" s="729">
        <v>24193824</v>
      </c>
      <c r="F60" s="743">
        <v>18778259</v>
      </c>
      <c r="G60" s="743">
        <v>25996396</v>
      </c>
      <c r="H60" s="743">
        <v>19033366</v>
      </c>
      <c r="I60" s="714">
        <v>4929675</v>
      </c>
      <c r="J60" s="714">
        <v>5393914</v>
      </c>
      <c r="K60" s="714">
        <v>24823439</v>
      </c>
      <c r="L60" s="5"/>
      <c r="M60" s="56"/>
      <c r="N60" s="599"/>
      <c r="O60" s="595"/>
      <c r="P60" s="596"/>
      <c r="Q60" s="53"/>
    </row>
    <row r="61" spans="1:17" ht="18">
      <c r="A61" s="597" t="s">
        <v>1522</v>
      </c>
      <c r="B61" s="753" t="s">
        <v>1509</v>
      </c>
      <c r="C61" s="144" t="s">
        <v>46</v>
      </c>
      <c r="D61" s="737">
        <f t="shared" si="4"/>
        <v>147.90373706360404</v>
      </c>
      <c r="E61" s="701">
        <v>24244624</v>
      </c>
      <c r="F61" s="709">
        <v>18782614</v>
      </c>
      <c r="G61" s="713">
        <v>26145967</v>
      </c>
      <c r="H61" s="713">
        <v>19013752</v>
      </c>
      <c r="I61" s="714">
        <v>4931107</v>
      </c>
      <c r="J61" s="714">
        <v>5392644</v>
      </c>
      <c r="K61" s="714">
        <v>24816997</v>
      </c>
      <c r="L61" s="5"/>
      <c r="M61" s="56"/>
      <c r="N61" s="594"/>
      <c r="O61" s="595"/>
      <c r="P61" s="596"/>
      <c r="Q61" s="53"/>
    </row>
    <row r="62" spans="1:17" ht="18">
      <c r="A62" s="597" t="s">
        <v>1523</v>
      </c>
      <c r="B62" s="628" t="s">
        <v>1691</v>
      </c>
      <c r="C62" s="60"/>
      <c r="D62" s="737">
        <f t="shared" si="4"/>
        <v>150.92148958851323</v>
      </c>
      <c r="E62" s="729">
        <v>26449102</v>
      </c>
      <c r="F62" s="743">
        <v>21316602</v>
      </c>
      <c r="G62" s="743">
        <v>26049868</v>
      </c>
      <c r="H62" s="743">
        <v>18457101</v>
      </c>
      <c r="I62" s="714">
        <v>3253233</v>
      </c>
      <c r="J62" s="714">
        <v>7262432</v>
      </c>
      <c r="K62" s="714">
        <v>25557990</v>
      </c>
      <c r="L62" s="5"/>
      <c r="M62" s="56"/>
      <c r="N62" s="599"/>
      <c r="O62" s="595"/>
      <c r="P62" s="596"/>
      <c r="Q62" s="53"/>
    </row>
    <row r="63" spans="1:17" ht="18">
      <c r="A63" s="597" t="s">
        <v>1524</v>
      </c>
      <c r="B63" s="753" t="s">
        <v>1749</v>
      </c>
      <c r="C63" s="145" t="s">
        <v>46</v>
      </c>
      <c r="D63" s="737">
        <f t="shared" si="4"/>
        <v>151.68127495232994</v>
      </c>
      <c r="E63" s="729">
        <v>27032192</v>
      </c>
      <c r="F63" s="743">
        <v>20051579</v>
      </c>
      <c r="G63" s="743">
        <v>26677154</v>
      </c>
      <c r="H63" s="743">
        <v>18248704</v>
      </c>
      <c r="I63" s="714">
        <v>4939214</v>
      </c>
      <c r="J63" s="714">
        <v>5735876</v>
      </c>
      <c r="K63" s="714">
        <v>24237423</v>
      </c>
      <c r="L63" s="5"/>
      <c r="M63" s="593"/>
      <c r="N63" s="594"/>
      <c r="O63" s="595"/>
      <c r="P63" s="596"/>
      <c r="Q63" s="53"/>
    </row>
    <row r="64" spans="1:17" ht="18">
      <c r="A64" s="597" t="s">
        <v>1525</v>
      </c>
      <c r="B64" s="752" t="s">
        <v>1741</v>
      </c>
      <c r="C64" s="144" t="s">
        <v>46</v>
      </c>
      <c r="D64" s="737">
        <f t="shared" si="4"/>
        <v>152.85021676289196</v>
      </c>
      <c r="E64" s="729">
        <v>25039528</v>
      </c>
      <c r="F64" s="743">
        <v>18719064</v>
      </c>
      <c r="G64" s="743">
        <v>25827312</v>
      </c>
      <c r="H64" s="743">
        <v>17790124</v>
      </c>
      <c r="I64" s="714">
        <v>6165208</v>
      </c>
      <c r="J64" s="714">
        <v>5494648</v>
      </c>
      <c r="K64" s="714">
        <v>23949432</v>
      </c>
      <c r="L64" s="5"/>
      <c r="M64" s="593"/>
      <c r="N64" s="594"/>
      <c r="O64" s="595"/>
      <c r="P64" s="596"/>
      <c r="Q64" s="53"/>
    </row>
    <row r="65" spans="1:17" ht="18">
      <c r="A65" s="597" t="s">
        <v>1527</v>
      </c>
      <c r="B65" s="753" t="s">
        <v>1536</v>
      </c>
      <c r="C65" s="145"/>
      <c r="D65" s="737">
        <f t="shared" si="4"/>
        <v>155.70294339456171</v>
      </c>
      <c r="E65" s="701">
        <v>26148976</v>
      </c>
      <c r="F65" s="709">
        <v>20928320</v>
      </c>
      <c r="G65" s="709">
        <v>25677024</v>
      </c>
      <c r="H65" s="709">
        <v>18226240</v>
      </c>
      <c r="I65" s="714">
        <v>5273456</v>
      </c>
      <c r="J65" s="714">
        <v>6143888</v>
      </c>
      <c r="K65" s="714">
        <v>25525072</v>
      </c>
      <c r="L65" s="5"/>
      <c r="M65" s="56"/>
      <c r="N65" s="594"/>
      <c r="O65" s="595"/>
      <c r="P65" s="596"/>
      <c r="Q65" s="53"/>
    </row>
    <row r="66" spans="1:17" ht="18">
      <c r="A66" s="597"/>
      <c r="B66" s="752" t="s">
        <v>899</v>
      </c>
      <c r="C66" s="1831"/>
      <c r="D66" s="737">
        <f t="shared" si="4"/>
        <v>155.84820208126351</v>
      </c>
      <c r="E66" s="701">
        <v>25639989</v>
      </c>
      <c r="F66" s="709">
        <v>20015433</v>
      </c>
      <c r="G66" s="709">
        <v>26995986</v>
      </c>
      <c r="H66" s="709">
        <v>18890869</v>
      </c>
      <c r="I66" s="714">
        <v>5542999</v>
      </c>
      <c r="J66" s="714">
        <v>5831522</v>
      </c>
      <c r="K66" s="714">
        <v>25052025</v>
      </c>
      <c r="L66" s="5"/>
      <c r="M66" s="593"/>
      <c r="N66" s="594"/>
      <c r="O66" s="595"/>
      <c r="P66" s="596"/>
      <c r="Q66" s="53"/>
    </row>
    <row r="67" spans="1:17" ht="18">
      <c r="A67" s="597"/>
      <c r="B67" s="752" t="s">
        <v>1640</v>
      </c>
      <c r="C67" s="747"/>
      <c r="D67" s="737">
        <f t="shared" si="4"/>
        <v>156.25449069075654</v>
      </c>
      <c r="E67" s="729">
        <v>24439644</v>
      </c>
      <c r="F67" s="743">
        <v>25073685</v>
      </c>
      <c r="G67" s="743">
        <v>25080826</v>
      </c>
      <c r="H67" s="743">
        <v>16704968</v>
      </c>
      <c r="I67" s="714">
        <v>4801633</v>
      </c>
      <c r="J67" s="714">
        <v>5645688</v>
      </c>
      <c r="K67" s="714">
        <v>30861537</v>
      </c>
      <c r="L67" s="5"/>
      <c r="M67" s="593"/>
      <c r="N67" s="599"/>
      <c r="O67" s="595"/>
      <c r="P67" s="55"/>
      <c r="Q67" s="604"/>
    </row>
    <row r="68" spans="1:17" ht="18">
      <c r="A68" s="597"/>
      <c r="B68" s="756" t="s">
        <v>1715</v>
      </c>
      <c r="C68" s="144" t="s">
        <v>46</v>
      </c>
      <c r="D68" s="737">
        <f t="shared" si="4"/>
        <v>156.36685812340417</v>
      </c>
      <c r="E68" s="729">
        <v>25639919</v>
      </c>
      <c r="F68" s="743">
        <v>20015305</v>
      </c>
      <c r="G68" s="743">
        <v>26922018</v>
      </c>
      <c r="H68" s="743">
        <v>18876509</v>
      </c>
      <c r="I68" s="714">
        <v>5543270</v>
      </c>
      <c r="J68" s="714">
        <v>5962944</v>
      </c>
      <c r="K68" s="714">
        <v>25105005</v>
      </c>
      <c r="L68" s="5"/>
      <c r="M68" s="593"/>
      <c r="N68" s="599"/>
      <c r="O68" s="595"/>
      <c r="P68" s="55"/>
      <c r="Q68" s="604"/>
    </row>
    <row r="69" spans="1:17" ht="18">
      <c r="A69" s="597" t="s">
        <v>1529</v>
      </c>
      <c r="B69" s="628" t="s">
        <v>1892</v>
      </c>
      <c r="C69" s="61"/>
      <c r="D69" s="737">
        <f t="shared" si="4"/>
        <v>156.79113986476216</v>
      </c>
      <c r="E69" s="729">
        <v>26418172</v>
      </c>
      <c r="F69" s="743">
        <v>19816280</v>
      </c>
      <c r="G69" s="743">
        <v>26639756</v>
      </c>
      <c r="H69" s="743">
        <v>17389180</v>
      </c>
      <c r="I69" s="714">
        <v>6235644</v>
      </c>
      <c r="J69" s="714">
        <v>5892360</v>
      </c>
      <c r="K69" s="714">
        <v>23618928</v>
      </c>
      <c r="L69" s="5"/>
      <c r="M69" s="593"/>
      <c r="N69" s="594"/>
      <c r="O69" s="595"/>
      <c r="P69" s="55"/>
      <c r="Q69" s="53"/>
    </row>
    <row r="70" spans="1:17" ht="18">
      <c r="A70" s="597" t="s">
        <v>1530</v>
      </c>
      <c r="B70" s="752" t="s">
        <v>1594</v>
      </c>
      <c r="C70" s="61"/>
      <c r="D70" s="737">
        <f t="shared" si="4"/>
        <v>157.43288594656633</v>
      </c>
      <c r="E70" s="700">
        <v>27854404</v>
      </c>
      <c r="F70" s="742">
        <v>19969508</v>
      </c>
      <c r="G70" s="713">
        <v>27038984</v>
      </c>
      <c r="H70" s="713">
        <v>17818604</v>
      </c>
      <c r="I70" s="714">
        <v>6421771</v>
      </c>
      <c r="J70" s="714">
        <v>5264760</v>
      </c>
      <c r="K70" s="714">
        <v>23854265</v>
      </c>
      <c r="L70" s="5"/>
      <c r="M70" s="593"/>
      <c r="N70" s="594"/>
      <c r="O70" s="595"/>
      <c r="P70" s="596"/>
      <c r="Q70" s="53"/>
    </row>
    <row r="71" spans="1:17" ht="18">
      <c r="A71" s="597" t="s">
        <v>1531</v>
      </c>
      <c r="B71" s="1830" t="s">
        <v>1725</v>
      </c>
      <c r="C71" s="749"/>
      <c r="D71" s="737">
        <f t="shared" si="4"/>
        <v>159.11862031946362</v>
      </c>
      <c r="E71" s="729">
        <v>26509322</v>
      </c>
      <c r="F71" s="743">
        <v>20973821</v>
      </c>
      <c r="G71" s="743">
        <v>26306149</v>
      </c>
      <c r="H71" s="743">
        <v>20768117</v>
      </c>
      <c r="I71" s="714">
        <v>4811286</v>
      </c>
      <c r="J71" s="714">
        <v>6335602</v>
      </c>
      <c r="K71" s="714">
        <v>26857344</v>
      </c>
      <c r="L71" s="5"/>
      <c r="M71" s="56"/>
      <c r="N71" s="594"/>
      <c r="O71" s="595"/>
      <c r="P71" s="596"/>
      <c r="Q71" s="53"/>
    </row>
    <row r="72" spans="1:17" ht="18">
      <c r="A72" s="597" t="s">
        <v>1533</v>
      </c>
      <c r="B72" s="628" t="s">
        <v>1710</v>
      </c>
      <c r="C72" s="59"/>
      <c r="D72" s="737">
        <f t="shared" si="4"/>
        <v>159.23521476686477</v>
      </c>
      <c r="E72" s="701">
        <v>26956143</v>
      </c>
      <c r="F72" s="709">
        <v>20276686</v>
      </c>
      <c r="G72" s="709">
        <v>27430527</v>
      </c>
      <c r="H72" s="709">
        <v>19240178</v>
      </c>
      <c r="I72" s="714">
        <v>5596884</v>
      </c>
      <c r="J72" s="714">
        <v>6104059</v>
      </c>
      <c r="K72" s="714">
        <v>25034492</v>
      </c>
      <c r="L72" s="5"/>
      <c r="M72" s="593"/>
      <c r="N72" s="594"/>
      <c r="O72" s="595"/>
      <c r="P72" s="596"/>
      <c r="Q72" s="53"/>
    </row>
    <row r="73" spans="1:17" ht="18">
      <c r="A73" s="597" t="s">
        <v>1534</v>
      </c>
      <c r="B73" s="753" t="s">
        <v>1708</v>
      </c>
      <c r="C73" s="144" t="s">
        <v>46</v>
      </c>
      <c r="D73" s="737">
        <f t="shared" si="4"/>
        <v>159.41784805380394</v>
      </c>
      <c r="E73" s="701">
        <v>25642480</v>
      </c>
      <c r="F73" s="709">
        <v>20027048</v>
      </c>
      <c r="G73" s="709">
        <v>26924875</v>
      </c>
      <c r="H73" s="709">
        <v>19476865</v>
      </c>
      <c r="I73" s="714">
        <v>5761798</v>
      </c>
      <c r="J73" s="714">
        <v>6186957</v>
      </c>
      <c r="K73" s="714">
        <v>25363167</v>
      </c>
      <c r="L73" s="5"/>
      <c r="M73" s="56"/>
      <c r="N73" s="599"/>
      <c r="O73" s="595"/>
      <c r="P73" s="596"/>
      <c r="Q73" s="53"/>
    </row>
    <row r="74" spans="1:17" ht="18">
      <c r="A74" s="597" t="s">
        <v>1535</v>
      </c>
      <c r="B74" s="628" t="s">
        <v>1709</v>
      </c>
      <c r="C74" s="144" t="s">
        <v>46</v>
      </c>
      <c r="D74" s="737">
        <f t="shared" si="4"/>
        <v>159.49919943222301</v>
      </c>
      <c r="E74" s="701">
        <v>25643056</v>
      </c>
      <c r="F74" s="709">
        <v>20027504</v>
      </c>
      <c r="G74" s="709">
        <v>26925487</v>
      </c>
      <c r="H74" s="709">
        <v>19539480</v>
      </c>
      <c r="I74" s="714">
        <v>5761918</v>
      </c>
      <c r="J74" s="714">
        <v>6187089</v>
      </c>
      <c r="K74" s="714">
        <v>25363743</v>
      </c>
      <c r="L74" s="5"/>
      <c r="M74" s="593"/>
      <c r="N74" s="594"/>
      <c r="O74" s="595"/>
      <c r="P74" s="596"/>
      <c r="Q74" s="53"/>
    </row>
    <row r="75" spans="1:17" ht="18">
      <c r="A75" s="597"/>
      <c r="B75" s="756" t="s">
        <v>1733</v>
      </c>
      <c r="C75" s="748"/>
      <c r="D75" s="737">
        <f t="shared" si="4"/>
        <v>163.1824338558371</v>
      </c>
      <c r="E75" s="701">
        <v>28477626</v>
      </c>
      <c r="F75" s="709">
        <v>22221452</v>
      </c>
      <c r="G75" s="709">
        <v>26518651</v>
      </c>
      <c r="H75" s="709">
        <v>19799178</v>
      </c>
      <c r="I75" s="714">
        <v>4481481</v>
      </c>
      <c r="J75" s="714">
        <v>7477808</v>
      </c>
      <c r="K75" s="714">
        <v>26135378</v>
      </c>
      <c r="L75" s="5"/>
      <c r="M75" s="593"/>
      <c r="N75" s="594"/>
      <c r="O75" s="595"/>
      <c r="P75" s="596"/>
      <c r="Q75" s="53"/>
    </row>
    <row r="76" spans="1:17" ht="18">
      <c r="A76" s="605"/>
      <c r="B76" s="757" t="s">
        <v>939</v>
      </c>
      <c r="C76" s="1786"/>
      <c r="D76" s="737">
        <f t="shared" si="4"/>
        <v>167.19748621426371</v>
      </c>
      <c r="E76" s="701">
        <v>27242876</v>
      </c>
      <c r="F76" s="709">
        <v>21275528</v>
      </c>
      <c r="G76" s="709">
        <v>27269274</v>
      </c>
      <c r="H76" s="709">
        <v>21099124</v>
      </c>
      <c r="I76" s="714">
        <v>6229157</v>
      </c>
      <c r="J76" s="714">
        <v>6056964</v>
      </c>
      <c r="K76" s="714">
        <v>26699606</v>
      </c>
      <c r="L76" s="5"/>
      <c r="M76" s="593"/>
      <c r="N76" s="594"/>
      <c r="O76" s="595"/>
      <c r="P76" s="596"/>
      <c r="Q76" s="53"/>
    </row>
    <row r="77" spans="1:17" ht="18">
      <c r="A77" s="605"/>
      <c r="B77" s="628" t="s">
        <v>1550</v>
      </c>
      <c r="C77" s="749"/>
      <c r="D77" s="737">
        <f t="shared" si="4"/>
        <v>168.05802989036926</v>
      </c>
      <c r="E77" s="701">
        <v>28453631</v>
      </c>
      <c r="F77" s="709">
        <v>24886801</v>
      </c>
      <c r="G77" s="709">
        <v>26999683</v>
      </c>
      <c r="H77" s="709">
        <v>20290860</v>
      </c>
      <c r="I77" s="714">
        <v>3261622</v>
      </c>
      <c r="J77" s="714">
        <v>8711176</v>
      </c>
      <c r="K77" s="714">
        <v>29181974</v>
      </c>
      <c r="L77" s="5"/>
      <c r="M77" s="593"/>
      <c r="N77" s="594"/>
      <c r="O77" s="595"/>
      <c r="P77" s="596"/>
      <c r="Q77" s="53"/>
    </row>
    <row r="78" spans="1:17" ht="18">
      <c r="A78" s="605"/>
      <c r="B78" s="750" t="s">
        <v>697</v>
      </c>
      <c r="C78" s="144" t="s">
        <v>46</v>
      </c>
      <c r="D78" s="737">
        <f t="shared" si="4"/>
        <v>168.29573284826373</v>
      </c>
      <c r="E78" s="701">
        <v>29035333</v>
      </c>
      <c r="F78" s="709">
        <v>23736186</v>
      </c>
      <c r="G78" s="709">
        <v>27974422</v>
      </c>
      <c r="H78" s="709">
        <v>20712007</v>
      </c>
      <c r="I78" s="714">
        <v>3739872</v>
      </c>
      <c r="J78" s="714">
        <v>8153446</v>
      </c>
      <c r="K78" s="714">
        <v>28664439</v>
      </c>
      <c r="L78" s="5"/>
      <c r="M78" s="593"/>
      <c r="N78" s="594"/>
      <c r="O78" s="595"/>
      <c r="P78" s="596"/>
      <c r="Q78" s="53"/>
    </row>
    <row r="79" spans="1:17" ht="18">
      <c r="A79" s="605"/>
      <c r="B79" s="753" t="s">
        <v>1890</v>
      </c>
      <c r="C79" s="748"/>
      <c r="D79" s="737">
        <f t="shared" si="4"/>
        <v>172.04983069198124</v>
      </c>
      <c r="E79" s="701">
        <v>29555722</v>
      </c>
      <c r="F79" s="709">
        <v>21932913</v>
      </c>
      <c r="G79" s="709">
        <v>28643052</v>
      </c>
      <c r="H79" s="709">
        <v>20430322</v>
      </c>
      <c r="I79" s="714">
        <v>6228162</v>
      </c>
      <c r="J79" s="714">
        <v>6556433</v>
      </c>
      <c r="K79" s="714">
        <v>27033740</v>
      </c>
      <c r="L79" s="5"/>
      <c r="M79" s="593"/>
      <c r="N79" s="594"/>
      <c r="O79" s="595"/>
      <c r="P79" s="596"/>
      <c r="Q79" s="53"/>
    </row>
    <row r="80" spans="1:17" ht="18">
      <c r="A80" s="605"/>
      <c r="B80" s="628" t="s">
        <v>1809</v>
      </c>
      <c r="C80" s="60" t="s">
        <v>46</v>
      </c>
      <c r="D80" s="737">
        <f t="shared" si="4"/>
        <v>173.54631025315365</v>
      </c>
      <c r="E80" s="701">
        <v>29976892</v>
      </c>
      <c r="F80" s="709">
        <v>24390163</v>
      </c>
      <c r="G80" s="709">
        <v>27577160</v>
      </c>
      <c r="H80" s="709">
        <v>21372142</v>
      </c>
      <c r="I80" s="714">
        <v>3940300</v>
      </c>
      <c r="J80" s="714">
        <v>8519152</v>
      </c>
      <c r="K80" s="714">
        <v>29571210</v>
      </c>
      <c r="L80" s="5"/>
      <c r="M80" s="593"/>
      <c r="N80" s="594"/>
      <c r="O80" s="595"/>
      <c r="P80" s="596"/>
      <c r="Q80" s="53"/>
    </row>
    <row r="81" spans="1:17" ht="18">
      <c r="A81" s="605"/>
      <c r="B81" s="628" t="s">
        <v>1889</v>
      </c>
      <c r="C81" s="755"/>
      <c r="D81" s="737">
        <f t="shared" si="4"/>
        <v>174.68616726921391</v>
      </c>
      <c r="E81" s="701">
        <v>30298860</v>
      </c>
      <c r="F81" s="709">
        <v>22971294</v>
      </c>
      <c r="G81" s="709">
        <v>28672660</v>
      </c>
      <c r="H81" s="709">
        <v>21211504</v>
      </c>
      <c r="I81" s="714">
        <v>6025604</v>
      </c>
      <c r="J81" s="714">
        <v>6646008</v>
      </c>
      <c r="K81" s="714">
        <v>27883356</v>
      </c>
      <c r="L81" s="5"/>
      <c r="M81" s="593"/>
      <c r="N81" s="594"/>
      <c r="O81" s="595"/>
      <c r="P81" s="596"/>
      <c r="Q81" s="53"/>
    </row>
    <row r="82" spans="1:17" ht="18">
      <c r="A82" s="605"/>
      <c r="B82" s="757" t="s">
        <v>1683</v>
      </c>
      <c r="C82" s="60" t="s">
        <v>46</v>
      </c>
      <c r="D82" s="737">
        <f t="shared" si="4"/>
        <v>175.79972381079654</v>
      </c>
      <c r="E82" s="701">
        <v>31322769</v>
      </c>
      <c r="F82" s="709">
        <v>23727562</v>
      </c>
      <c r="G82" s="709">
        <v>29200624</v>
      </c>
      <c r="H82" s="709">
        <v>20444990</v>
      </c>
      <c r="I82" s="714">
        <v>4702135</v>
      </c>
      <c r="J82" s="714">
        <v>8565374</v>
      </c>
      <c r="K82" s="714">
        <v>26923180</v>
      </c>
      <c r="L82" s="5"/>
      <c r="M82" s="593"/>
      <c r="N82" s="594"/>
      <c r="O82" s="595"/>
      <c r="P82" s="596"/>
      <c r="Q82" s="53"/>
    </row>
    <row r="83" spans="1:17" ht="18">
      <c r="A83" s="592"/>
      <c r="B83" s="1828" t="s">
        <v>1684</v>
      </c>
      <c r="C83" s="161" t="s">
        <v>46</v>
      </c>
      <c r="D83" s="737">
        <f t="shared" si="4"/>
        <v>175.8832659596259</v>
      </c>
      <c r="E83" s="701">
        <v>28116375</v>
      </c>
      <c r="F83" s="709">
        <v>21956806</v>
      </c>
      <c r="G83" s="709">
        <v>28704639</v>
      </c>
      <c r="H83" s="709">
        <v>21802604</v>
      </c>
      <c r="I83" s="714">
        <v>6083565</v>
      </c>
      <c r="J83" s="714">
        <v>7374379</v>
      </c>
      <c r="K83" s="714">
        <v>27665856</v>
      </c>
      <c r="L83" s="5"/>
      <c r="M83" s="593"/>
      <c r="N83" s="594"/>
      <c r="O83" s="595"/>
      <c r="P83" s="596"/>
      <c r="Q83" s="53"/>
    </row>
    <row r="84" spans="1:17" ht="18">
      <c r="A84" s="592"/>
      <c r="B84" s="628" t="s">
        <v>849</v>
      </c>
      <c r="C84" s="747"/>
      <c r="D84" s="737">
        <f t="shared" si="4"/>
        <v>187.80822610284437</v>
      </c>
      <c r="E84" s="701">
        <v>19223258</v>
      </c>
      <c r="F84" s="709">
        <v>22694428</v>
      </c>
      <c r="G84" s="709">
        <v>29165118</v>
      </c>
      <c r="H84" s="709">
        <v>12547940</v>
      </c>
      <c r="I84" s="744">
        <v>6793024</v>
      </c>
      <c r="J84" s="714">
        <v>13252406</v>
      </c>
      <c r="K84" s="714">
        <v>29179430</v>
      </c>
      <c r="L84" s="5"/>
      <c r="M84" s="56"/>
      <c r="N84" s="594"/>
      <c r="O84" s="595"/>
      <c r="P84" s="596"/>
      <c r="Q84" s="53"/>
    </row>
    <row r="85" spans="1:17" ht="18">
      <c r="A85" s="592"/>
      <c r="B85" s="752" t="s">
        <v>1903</v>
      </c>
      <c r="C85" s="748"/>
      <c r="D85" s="737">
        <f t="shared" ref="D85:D103" si="5">SUM(E85/E$9,F85/F$9,G85/G$9,H85/H$9,I85/I$9,J85/J$9,K85/K$9)/7*100</f>
        <v>192.5434666500104</v>
      </c>
      <c r="E85" s="701">
        <v>33139192</v>
      </c>
      <c r="F85" s="709">
        <v>25341926</v>
      </c>
      <c r="G85" s="709">
        <v>35632812</v>
      </c>
      <c r="H85" s="709">
        <v>23260640</v>
      </c>
      <c r="I85" s="714">
        <v>6330516</v>
      </c>
      <c r="J85" s="714">
        <v>7094068</v>
      </c>
      <c r="K85" s="714">
        <v>30926163</v>
      </c>
      <c r="L85" s="5"/>
      <c r="M85" s="593"/>
      <c r="N85" s="594"/>
      <c r="O85" s="595"/>
      <c r="P85" s="596"/>
      <c r="Q85" s="53"/>
    </row>
    <row r="86" spans="1:17" ht="18">
      <c r="A86" s="592"/>
      <c r="B86" s="628" t="s">
        <v>1605</v>
      </c>
      <c r="C86" s="699"/>
      <c r="D86" s="737">
        <f t="shared" si="5"/>
        <v>195.90437424125381</v>
      </c>
      <c r="E86" s="701">
        <v>32037763</v>
      </c>
      <c r="F86" s="709">
        <v>26765234</v>
      </c>
      <c r="G86" s="709">
        <v>26810649</v>
      </c>
      <c r="H86" s="709">
        <v>23258175</v>
      </c>
      <c r="I86" s="714">
        <v>5766588</v>
      </c>
      <c r="J86" s="714">
        <v>9327616</v>
      </c>
      <c r="K86" s="714">
        <v>33923540</v>
      </c>
      <c r="L86" s="5"/>
      <c r="M86" s="593"/>
      <c r="N86" s="594"/>
      <c r="O86" s="595"/>
      <c r="P86" s="596"/>
      <c r="Q86" s="53"/>
    </row>
    <row r="87" spans="1:17" ht="18">
      <c r="A87" s="592"/>
      <c r="B87" s="757" t="s">
        <v>1507</v>
      </c>
      <c r="C87" s="654" t="s">
        <v>46</v>
      </c>
      <c r="D87" s="737">
        <f t="shared" si="5"/>
        <v>198.80673377207572</v>
      </c>
      <c r="E87" s="701">
        <v>31907064</v>
      </c>
      <c r="F87" s="709">
        <v>23548111</v>
      </c>
      <c r="G87" s="709">
        <v>30410293</v>
      </c>
      <c r="H87" s="709">
        <v>23664071</v>
      </c>
      <c r="I87" s="714">
        <v>8248943</v>
      </c>
      <c r="J87" s="714">
        <v>7450120</v>
      </c>
      <c r="K87" s="714">
        <v>31587166</v>
      </c>
      <c r="L87" s="5"/>
      <c r="M87" s="593"/>
      <c r="N87" s="594"/>
      <c r="O87" s="595"/>
      <c r="P87" s="596"/>
      <c r="Q87" s="53"/>
    </row>
    <row r="88" spans="1:17" ht="18">
      <c r="A88" s="592"/>
      <c r="B88" s="628" t="s">
        <v>1885</v>
      </c>
      <c r="C88" s="791"/>
      <c r="D88" s="737">
        <f t="shared" si="5"/>
        <v>238.14833903878005</v>
      </c>
      <c r="E88" s="701">
        <v>38253938</v>
      </c>
      <c r="F88" s="709">
        <v>30100873</v>
      </c>
      <c r="G88" s="709">
        <v>31111503</v>
      </c>
      <c r="H88" s="709">
        <v>30685041</v>
      </c>
      <c r="I88" s="714">
        <v>8339522</v>
      </c>
      <c r="J88" s="714">
        <v>9867014</v>
      </c>
      <c r="K88" s="714">
        <v>41342156</v>
      </c>
      <c r="L88" s="5"/>
      <c r="M88" s="593"/>
      <c r="N88" s="594"/>
      <c r="O88" s="595"/>
      <c r="P88" s="596"/>
      <c r="Q88" s="53"/>
    </row>
    <row r="89" spans="1:17" ht="18">
      <c r="A89" s="592"/>
      <c r="B89" s="637" t="s">
        <v>1559</v>
      </c>
      <c r="C89" s="59" t="s">
        <v>46</v>
      </c>
      <c r="D89" s="737">
        <f t="shared" si="5"/>
        <v>239.56743037848133</v>
      </c>
      <c r="E89" s="701">
        <v>41668937</v>
      </c>
      <c r="F89" s="709">
        <v>31229031</v>
      </c>
      <c r="G89" s="709">
        <v>32379850</v>
      </c>
      <c r="H89" s="709">
        <v>29377761</v>
      </c>
      <c r="I89" s="714">
        <v>7152497</v>
      </c>
      <c r="J89" s="714">
        <v>11159018</v>
      </c>
      <c r="K89" s="714">
        <v>40568128</v>
      </c>
      <c r="L89" s="5"/>
      <c r="M89" s="593"/>
      <c r="N89" s="594"/>
      <c r="O89" s="595"/>
      <c r="P89" s="596"/>
      <c r="Q89" s="53"/>
    </row>
    <row r="90" spans="1:17" ht="18">
      <c r="A90" s="592"/>
      <c r="B90" s="707" t="s">
        <v>1887</v>
      </c>
      <c r="C90" s="791"/>
      <c r="D90" s="737">
        <f t="shared" si="5"/>
        <v>240.16974689390031</v>
      </c>
      <c r="E90" s="701">
        <v>41742070</v>
      </c>
      <c r="F90" s="709">
        <v>31314197</v>
      </c>
      <c r="G90" s="709">
        <v>32505367</v>
      </c>
      <c r="H90" s="709">
        <v>29453229</v>
      </c>
      <c r="I90" s="714">
        <v>7163920</v>
      </c>
      <c r="J90" s="714">
        <v>11189619</v>
      </c>
      <c r="K90" s="714">
        <v>40680970</v>
      </c>
      <c r="L90" s="5"/>
      <c r="M90" s="593"/>
      <c r="N90" s="594"/>
      <c r="O90" s="595"/>
      <c r="P90" s="596"/>
      <c r="Q90" s="53"/>
    </row>
    <row r="91" spans="1:17" ht="18">
      <c r="A91" s="592"/>
      <c r="B91" s="752" t="s">
        <v>1728</v>
      </c>
      <c r="C91" s="62"/>
      <c r="D91" s="737">
        <f t="shared" si="5"/>
        <v>243.3880939504316</v>
      </c>
      <c r="E91" s="701">
        <v>42126382</v>
      </c>
      <c r="F91" s="709">
        <v>31495797</v>
      </c>
      <c r="G91" s="709">
        <v>32518422</v>
      </c>
      <c r="H91" s="709">
        <v>29712828</v>
      </c>
      <c r="I91" s="714">
        <v>7466901</v>
      </c>
      <c r="J91" s="714">
        <v>11297889</v>
      </c>
      <c r="K91" s="714">
        <v>41129116</v>
      </c>
      <c r="L91" s="5"/>
      <c r="M91" s="56"/>
      <c r="N91" s="594"/>
      <c r="O91" s="595"/>
      <c r="P91" s="596"/>
      <c r="Q91" s="53"/>
    </row>
    <row r="92" spans="1:17" ht="18">
      <c r="A92" s="592"/>
      <c r="B92" s="750" t="s">
        <v>1676</v>
      </c>
      <c r="C92" s="791"/>
      <c r="D92" s="737">
        <f t="shared" si="5"/>
        <v>245.16110508028098</v>
      </c>
      <c r="E92" s="701">
        <v>23460139</v>
      </c>
      <c r="F92" s="709">
        <v>19883424</v>
      </c>
      <c r="G92" s="709">
        <v>35630736</v>
      </c>
      <c r="H92" s="709">
        <v>12378455</v>
      </c>
      <c r="I92" s="744">
        <v>17965104</v>
      </c>
      <c r="J92" s="714">
        <v>14337044</v>
      </c>
      <c r="K92" s="714">
        <v>17039360</v>
      </c>
      <c r="L92" s="5"/>
      <c r="M92" s="56"/>
      <c r="N92" s="594"/>
      <c r="O92" s="595"/>
      <c r="P92" s="596"/>
      <c r="Q92" s="53"/>
    </row>
    <row r="93" spans="1:17" ht="18">
      <c r="A93" s="592"/>
      <c r="B93" s="752" t="s">
        <v>1883</v>
      </c>
      <c r="C93" s="61"/>
      <c r="D93" s="737">
        <f t="shared" si="5"/>
        <v>261.09505719967365</v>
      </c>
      <c r="E93" s="701">
        <v>45410676</v>
      </c>
      <c r="F93" s="709">
        <v>34198374</v>
      </c>
      <c r="G93" s="709">
        <v>37463719</v>
      </c>
      <c r="H93" s="709">
        <v>31317794</v>
      </c>
      <c r="I93" s="744">
        <v>7658500</v>
      </c>
      <c r="J93" s="714">
        <v>12345215</v>
      </c>
      <c r="K93" s="714">
        <v>43251402</v>
      </c>
      <c r="L93" s="5"/>
      <c r="M93" s="593"/>
      <c r="N93" s="594"/>
      <c r="O93" s="595"/>
      <c r="P93" s="596"/>
      <c r="Q93" s="53"/>
    </row>
    <row r="94" spans="1:17" ht="18">
      <c r="A94" s="592"/>
      <c r="B94" s="752" t="s">
        <v>1894</v>
      </c>
      <c r="C94" s="61"/>
      <c r="D94" s="737">
        <f t="shared" si="5"/>
        <v>314.41075994015966</v>
      </c>
      <c r="E94" s="701">
        <v>53330756</v>
      </c>
      <c r="F94" s="709">
        <v>35443024</v>
      </c>
      <c r="G94" s="713">
        <v>35988356</v>
      </c>
      <c r="H94" s="713">
        <v>35737920</v>
      </c>
      <c r="I94" s="714">
        <v>13788488</v>
      </c>
      <c r="J94" s="714">
        <v>13676876</v>
      </c>
      <c r="K94" s="714">
        <v>47930196</v>
      </c>
      <c r="L94" s="5"/>
      <c r="M94" s="593"/>
      <c r="N94" s="594"/>
      <c r="O94" s="595"/>
      <c r="P94" s="596"/>
      <c r="Q94" s="53"/>
    </row>
    <row r="95" spans="1:17" ht="18">
      <c r="A95" s="592"/>
      <c r="B95" s="752" t="s">
        <v>1896</v>
      </c>
      <c r="C95" s="142"/>
      <c r="D95" s="737">
        <f t="shared" si="5"/>
        <v>316.19986109395586</v>
      </c>
      <c r="E95" s="701">
        <v>53460596</v>
      </c>
      <c r="F95" s="709">
        <v>35632973</v>
      </c>
      <c r="G95" s="713">
        <v>36241142</v>
      </c>
      <c r="H95" s="713">
        <v>35966620</v>
      </c>
      <c r="I95" s="714">
        <v>13879683</v>
      </c>
      <c r="J95" s="714">
        <v>13770897</v>
      </c>
      <c r="K95" s="714">
        <v>48138381</v>
      </c>
      <c r="L95" s="5"/>
      <c r="M95" s="593"/>
      <c r="N95" s="594"/>
      <c r="O95" s="595"/>
      <c r="P95" s="596"/>
      <c r="Q95" s="53"/>
    </row>
    <row r="96" spans="1:17" ht="18">
      <c r="A96" s="592"/>
      <c r="B96" s="752" t="s">
        <v>1895</v>
      </c>
      <c r="C96" s="61"/>
      <c r="D96" s="737">
        <f t="shared" si="5"/>
        <v>322.17894535433936</v>
      </c>
      <c r="E96" s="701">
        <v>53514713</v>
      </c>
      <c r="F96" s="709">
        <v>35666329</v>
      </c>
      <c r="G96" s="709">
        <v>35914082</v>
      </c>
      <c r="H96" s="709">
        <v>35435591</v>
      </c>
      <c r="I96" s="714">
        <v>15314025</v>
      </c>
      <c r="J96" s="714">
        <v>13666137</v>
      </c>
      <c r="K96" s="714">
        <v>47793247</v>
      </c>
      <c r="L96" s="5"/>
      <c r="M96" s="593"/>
      <c r="N96" s="594"/>
      <c r="O96" s="595"/>
      <c r="P96" s="596"/>
      <c r="Q96" s="53"/>
    </row>
    <row r="97" spans="1:17" ht="18">
      <c r="A97" s="592"/>
      <c r="B97" s="628" t="s">
        <v>1884</v>
      </c>
      <c r="C97" s="54" t="s">
        <v>46</v>
      </c>
      <c r="D97" s="737">
        <f t="shared" si="5"/>
        <v>323.9552521919353</v>
      </c>
      <c r="E97" s="701">
        <v>54448706</v>
      </c>
      <c r="F97" s="709">
        <v>36080363</v>
      </c>
      <c r="G97" s="713">
        <v>36122283</v>
      </c>
      <c r="H97" s="713">
        <v>36222841</v>
      </c>
      <c r="I97" s="714">
        <v>14747512</v>
      </c>
      <c r="J97" s="714">
        <v>14104547</v>
      </c>
      <c r="K97" s="714">
        <v>48606050</v>
      </c>
      <c r="L97" s="5"/>
      <c r="M97" s="593"/>
      <c r="N97" s="594"/>
      <c r="O97" s="595"/>
      <c r="P97" s="596"/>
      <c r="Q97" s="53"/>
    </row>
    <row r="98" spans="1:17" ht="18">
      <c r="A98" s="592"/>
      <c r="B98" s="628" t="s">
        <v>1888</v>
      </c>
      <c r="C98" s="749"/>
      <c r="D98" s="737">
        <f t="shared" si="5"/>
        <v>332.16732534773843</v>
      </c>
      <c r="E98" s="701">
        <v>53747730</v>
      </c>
      <c r="F98" s="709">
        <v>35667084</v>
      </c>
      <c r="G98" s="713">
        <v>35981073</v>
      </c>
      <c r="H98" s="713">
        <v>36578322</v>
      </c>
      <c r="I98" s="714">
        <v>16653942</v>
      </c>
      <c r="J98" s="714">
        <v>13985744</v>
      </c>
      <c r="K98" s="714">
        <v>47793880</v>
      </c>
      <c r="L98" s="5"/>
      <c r="M98" s="593"/>
      <c r="N98" s="594"/>
      <c r="O98" s="595"/>
      <c r="P98" s="596"/>
      <c r="Q98" s="53"/>
    </row>
    <row r="99" spans="1:17" ht="18">
      <c r="A99" s="592"/>
      <c r="B99" s="756" t="s">
        <v>1893</v>
      </c>
      <c r="C99" s="1832"/>
      <c r="D99" s="737">
        <f t="shared" si="5"/>
        <v>340.01670290231607</v>
      </c>
      <c r="E99" s="1812">
        <v>53747732</v>
      </c>
      <c r="F99" s="1813">
        <v>36636692</v>
      </c>
      <c r="G99" s="1814">
        <v>35979392</v>
      </c>
      <c r="H99" s="1814">
        <v>36578324</v>
      </c>
      <c r="I99" s="1792">
        <v>17952788</v>
      </c>
      <c r="J99" s="1792">
        <v>13939220</v>
      </c>
      <c r="K99" s="1792">
        <v>48098324</v>
      </c>
      <c r="L99" s="5"/>
      <c r="M99" s="593"/>
      <c r="N99" s="594"/>
      <c r="O99" s="595"/>
      <c r="P99" s="596"/>
      <c r="Q99" s="53"/>
    </row>
    <row r="100" spans="1:17" ht="18.75">
      <c r="A100" s="592"/>
      <c r="B100" s="753" t="s">
        <v>1900</v>
      </c>
      <c r="C100" s="1784"/>
      <c r="D100" s="737">
        <f t="shared" si="5"/>
        <v>340.03862825758716</v>
      </c>
      <c r="E100" s="701">
        <v>53747766</v>
      </c>
      <c r="F100" s="709">
        <v>36636726</v>
      </c>
      <c r="G100" s="709">
        <v>35979426</v>
      </c>
      <c r="H100" s="709">
        <v>36578358</v>
      </c>
      <c r="I100" s="714">
        <v>17956918</v>
      </c>
      <c r="J100" s="714">
        <v>13939254</v>
      </c>
      <c r="K100" s="714">
        <v>48098358</v>
      </c>
      <c r="L100" s="5"/>
      <c r="M100" s="603"/>
      <c r="N100" s="606"/>
      <c r="O100" s="595"/>
      <c r="P100" s="596"/>
      <c r="Q100" s="53"/>
    </row>
    <row r="101" spans="1:17" ht="18">
      <c r="A101" s="592"/>
      <c r="B101" s="753" t="s">
        <v>1901</v>
      </c>
      <c r="C101" s="749"/>
      <c r="D101" s="737">
        <f t="shared" si="5"/>
        <v>340.39192578178444</v>
      </c>
      <c r="E101" s="701">
        <v>53780338</v>
      </c>
      <c r="F101" s="709">
        <v>36671858</v>
      </c>
      <c r="G101" s="709">
        <v>35979426</v>
      </c>
      <c r="H101" s="709">
        <v>36615988</v>
      </c>
      <c r="I101" s="744">
        <v>17977420</v>
      </c>
      <c r="J101" s="744">
        <v>13970836</v>
      </c>
      <c r="K101" s="744">
        <v>48108320</v>
      </c>
      <c r="L101" s="5"/>
      <c r="M101" s="593"/>
      <c r="N101" s="594"/>
      <c r="O101" s="595"/>
      <c r="P101" s="596"/>
      <c r="Q101" s="53"/>
    </row>
    <row r="102" spans="1:17" ht="18">
      <c r="A102" s="592"/>
      <c r="B102" s="1599" t="s">
        <v>1897</v>
      </c>
      <c r="C102" s="1833"/>
      <c r="D102" s="737">
        <f t="shared" si="5"/>
        <v>340.91412320142183</v>
      </c>
      <c r="E102" s="1597">
        <v>54004951</v>
      </c>
      <c r="F102" s="1598">
        <v>36193544</v>
      </c>
      <c r="G102" s="1598">
        <v>36049128</v>
      </c>
      <c r="H102" s="1598">
        <v>36101536</v>
      </c>
      <c r="I102" s="1834">
        <v>18120656</v>
      </c>
      <c r="J102" s="1834">
        <v>14069366</v>
      </c>
      <c r="K102" s="1834">
        <v>48439646</v>
      </c>
      <c r="L102" s="5"/>
      <c r="M102" s="593"/>
      <c r="N102" s="594"/>
      <c r="O102" s="595"/>
      <c r="P102" s="596"/>
      <c r="Q102" s="53"/>
    </row>
    <row r="103" spans="1:17" ht="18">
      <c r="A103" s="592"/>
      <c r="B103" s="1835" t="s">
        <v>1905</v>
      </c>
      <c r="C103" s="61"/>
      <c r="D103" s="737">
        <f t="shared" si="5"/>
        <v>343.21921110986204</v>
      </c>
      <c r="E103" s="701">
        <v>54214656</v>
      </c>
      <c r="F103" s="709">
        <v>36970496</v>
      </c>
      <c r="G103" s="709">
        <v>36302848</v>
      </c>
      <c r="H103" s="709">
        <v>36914176</v>
      </c>
      <c r="I103" s="714">
        <v>18127872</v>
      </c>
      <c r="J103" s="714">
        <v>14088704</v>
      </c>
      <c r="K103" s="714">
        <v>48499200</v>
      </c>
      <c r="L103" s="5"/>
      <c r="M103" s="593"/>
      <c r="N103" s="594"/>
      <c r="O103" s="595"/>
      <c r="P103" s="596"/>
      <c r="Q103" s="53"/>
    </row>
    <row r="104" spans="1:17" ht="18">
      <c r="A104" s="592"/>
      <c r="B104" s="752" t="s">
        <v>1898</v>
      </c>
      <c r="C104" s="61"/>
      <c r="D104" s="737">
        <f>SUM(E104/E$9,F104/F$9,G104/G$9,H104/H$9,I104/I$9,J104/J$9,K104/K$9)/7*100</f>
        <v>347.18252179889635</v>
      </c>
      <c r="E104" s="701">
        <v>68554147</v>
      </c>
      <c r="F104" s="709">
        <v>39152900</v>
      </c>
      <c r="G104" s="709">
        <v>37206027</v>
      </c>
      <c r="H104" s="709">
        <v>38787210</v>
      </c>
      <c r="I104" s="714">
        <v>15212821</v>
      </c>
      <c r="J104" s="714">
        <v>14257566</v>
      </c>
      <c r="K104" s="714">
        <v>51456549</v>
      </c>
      <c r="L104" s="5"/>
      <c r="M104" s="593"/>
      <c r="N104" s="594"/>
      <c r="O104" s="595"/>
      <c r="P104" s="596"/>
      <c r="Q104" s="53"/>
    </row>
    <row r="105" spans="1:17" ht="18">
      <c r="A105" s="592"/>
      <c r="B105" s="2985" t="s">
        <v>1689</v>
      </c>
      <c r="C105" s="59"/>
      <c r="D105" s="737"/>
      <c r="E105" s="704" t="s">
        <v>695</v>
      </c>
      <c r="F105" s="710" t="s">
        <v>695</v>
      </c>
      <c r="G105" s="710" t="s">
        <v>695</v>
      </c>
      <c r="H105" s="710" t="s">
        <v>695</v>
      </c>
      <c r="I105" s="732" t="s">
        <v>695</v>
      </c>
      <c r="J105" s="732" t="s">
        <v>695</v>
      </c>
      <c r="K105" s="732" t="s">
        <v>695</v>
      </c>
      <c r="L105" s="5"/>
      <c r="M105" s="56"/>
      <c r="N105" s="599"/>
      <c r="O105" s="595"/>
      <c r="P105" s="596"/>
      <c r="Q105" s="53"/>
    </row>
    <row r="106" spans="1:17" ht="18">
      <c r="A106" s="592"/>
      <c r="B106" s="1795" t="s">
        <v>700</v>
      </c>
      <c r="C106" s="144" t="s">
        <v>46</v>
      </c>
      <c r="D106" s="784"/>
      <c r="E106" s="704" t="s">
        <v>695</v>
      </c>
      <c r="F106" s="710" t="s">
        <v>695</v>
      </c>
      <c r="G106" s="710" t="s">
        <v>695</v>
      </c>
      <c r="H106" s="710" t="s">
        <v>695</v>
      </c>
      <c r="I106" s="732" t="s">
        <v>695</v>
      </c>
      <c r="J106" s="732" t="s">
        <v>695</v>
      </c>
      <c r="K106" s="732" t="s">
        <v>695</v>
      </c>
      <c r="L106" s="5"/>
      <c r="M106" s="56"/>
      <c r="N106" s="599"/>
      <c r="O106" s="595"/>
      <c r="P106" s="596"/>
      <c r="Q106" s="53"/>
    </row>
    <row r="107" spans="1:17" ht="18">
      <c r="A107" s="592"/>
      <c r="B107" s="751" t="s">
        <v>701</v>
      </c>
      <c r="C107" s="144"/>
      <c r="D107" s="784"/>
      <c r="E107" s="704" t="s">
        <v>695</v>
      </c>
      <c r="F107" s="710" t="s">
        <v>695</v>
      </c>
      <c r="G107" s="710" t="s">
        <v>695</v>
      </c>
      <c r="H107" s="710" t="s">
        <v>695</v>
      </c>
      <c r="I107" s="732" t="s">
        <v>695</v>
      </c>
      <c r="J107" s="732" t="s">
        <v>695</v>
      </c>
      <c r="K107" s="732" t="s">
        <v>695</v>
      </c>
      <c r="L107" s="5"/>
      <c r="M107" s="56"/>
      <c r="N107" s="599"/>
      <c r="O107" s="595"/>
      <c r="P107" s="596"/>
      <c r="Q107" s="53"/>
    </row>
    <row r="108" spans="1:17" ht="18">
      <c r="A108" s="592"/>
      <c r="B108" s="751" t="s">
        <v>856</v>
      </c>
      <c r="C108" s="748"/>
      <c r="D108" s="737"/>
      <c r="E108" s="701">
        <v>22439787</v>
      </c>
      <c r="F108" s="709">
        <v>16742412</v>
      </c>
      <c r="G108" s="710" t="s">
        <v>641</v>
      </c>
      <c r="H108" s="709">
        <v>14433835</v>
      </c>
      <c r="I108" s="714">
        <v>4906344</v>
      </c>
      <c r="J108" s="714">
        <v>4563866</v>
      </c>
      <c r="K108" s="714">
        <v>20159180</v>
      </c>
      <c r="L108" s="5"/>
      <c r="M108" s="56"/>
      <c r="N108" s="599"/>
      <c r="O108" s="595"/>
      <c r="P108" s="596"/>
      <c r="Q108" s="53"/>
    </row>
    <row r="109" spans="1:17" ht="18">
      <c r="A109" s="592"/>
      <c r="B109" s="1823" t="s">
        <v>1906</v>
      </c>
      <c r="C109" s="1810"/>
      <c r="D109" s="822"/>
      <c r="E109" s="704" t="s">
        <v>695</v>
      </c>
      <c r="F109" s="704" t="s">
        <v>695</v>
      </c>
      <c r="G109" s="704" t="s">
        <v>695</v>
      </c>
      <c r="H109" s="704" t="s">
        <v>695</v>
      </c>
      <c r="I109" s="704" t="s">
        <v>695</v>
      </c>
      <c r="J109" s="704" t="s">
        <v>695</v>
      </c>
      <c r="K109" s="2986" t="s">
        <v>695</v>
      </c>
      <c r="L109" s="5"/>
      <c r="M109" s="56"/>
      <c r="N109" s="599"/>
      <c r="O109" s="595"/>
      <c r="P109" s="596"/>
      <c r="Q109" s="53"/>
    </row>
    <row r="110" spans="1:17" ht="18">
      <c r="A110" s="592"/>
      <c r="B110" s="1796" t="s">
        <v>852</v>
      </c>
      <c r="C110" s="699" t="s">
        <v>46</v>
      </c>
      <c r="D110" s="784"/>
      <c r="E110" s="704" t="s">
        <v>695</v>
      </c>
      <c r="F110" s="710" t="s">
        <v>695</v>
      </c>
      <c r="G110" s="710" t="s">
        <v>695</v>
      </c>
      <c r="H110" s="710" t="s">
        <v>695</v>
      </c>
      <c r="I110" s="732" t="s">
        <v>695</v>
      </c>
      <c r="J110" s="732" t="s">
        <v>695</v>
      </c>
      <c r="K110" s="732" t="s">
        <v>695</v>
      </c>
      <c r="L110" s="5"/>
      <c r="M110" s="56"/>
      <c r="N110" s="599"/>
      <c r="O110" s="595"/>
      <c r="P110" s="596"/>
      <c r="Q110" s="53"/>
    </row>
    <row r="111" spans="1:17" ht="18">
      <c r="A111" s="592"/>
      <c r="B111" s="1797" t="s">
        <v>1688</v>
      </c>
      <c r="C111" s="654"/>
      <c r="D111" s="798"/>
      <c r="E111" s="704" t="s">
        <v>695</v>
      </c>
      <c r="F111" s="710" t="s">
        <v>695</v>
      </c>
      <c r="G111" s="710" t="s">
        <v>695</v>
      </c>
      <c r="H111" s="710" t="s">
        <v>695</v>
      </c>
      <c r="I111" s="732" t="s">
        <v>695</v>
      </c>
      <c r="J111" s="732" t="s">
        <v>695</v>
      </c>
      <c r="K111" s="732" t="s">
        <v>695</v>
      </c>
      <c r="L111" s="5"/>
      <c r="M111" s="56"/>
      <c r="N111" s="599"/>
      <c r="O111" s="595"/>
      <c r="P111" s="596"/>
      <c r="Q111" s="53"/>
    </row>
    <row r="112" spans="1:17" ht="18">
      <c r="A112" s="592"/>
      <c r="B112" s="800" t="s">
        <v>1899</v>
      </c>
      <c r="C112" s="748"/>
      <c r="D112" s="784"/>
      <c r="E112" s="701">
        <v>20346748</v>
      </c>
      <c r="F112" s="710" t="s">
        <v>695</v>
      </c>
      <c r="G112" s="710" t="s">
        <v>695</v>
      </c>
      <c r="H112" s="709">
        <v>11412381</v>
      </c>
      <c r="I112" s="732" t="s">
        <v>695</v>
      </c>
      <c r="J112" s="732" t="s">
        <v>695</v>
      </c>
      <c r="K112" s="732" t="s">
        <v>695</v>
      </c>
      <c r="L112" s="5"/>
      <c r="M112" s="56"/>
      <c r="N112" s="599"/>
      <c r="O112" s="595"/>
      <c r="P112" s="596"/>
      <c r="Q112" s="53"/>
    </row>
    <row r="113" spans="1:17" ht="18">
      <c r="A113" s="592"/>
      <c r="B113" s="1798" t="s">
        <v>851</v>
      </c>
      <c r="C113" s="144" t="s">
        <v>46</v>
      </c>
      <c r="D113" s="784"/>
      <c r="E113" s="704" t="s">
        <v>695</v>
      </c>
      <c r="F113" s="710" t="s">
        <v>695</v>
      </c>
      <c r="G113" s="710" t="s">
        <v>695</v>
      </c>
      <c r="H113" s="710" t="s">
        <v>695</v>
      </c>
      <c r="I113" s="732" t="s">
        <v>695</v>
      </c>
      <c r="J113" s="732" t="s">
        <v>695</v>
      </c>
      <c r="K113" s="732" t="s">
        <v>695</v>
      </c>
      <c r="L113" s="5"/>
      <c r="M113" s="56"/>
      <c r="N113" s="599"/>
      <c r="O113" s="595"/>
      <c r="P113" s="596"/>
      <c r="Q113" s="53"/>
    </row>
    <row r="114" spans="1:17" ht="18">
      <c r="A114" s="592"/>
      <c r="B114" s="751" t="s">
        <v>698</v>
      </c>
      <c r="C114" s="145" t="s">
        <v>46</v>
      </c>
      <c r="D114" s="784"/>
      <c r="E114" s="704" t="s">
        <v>695</v>
      </c>
      <c r="F114" s="710" t="s">
        <v>695</v>
      </c>
      <c r="G114" s="710" t="s">
        <v>695</v>
      </c>
      <c r="H114" s="710" t="s">
        <v>695</v>
      </c>
      <c r="I114" s="732" t="s">
        <v>695</v>
      </c>
      <c r="J114" s="732" t="s">
        <v>695</v>
      </c>
      <c r="K114" s="732" t="s">
        <v>695</v>
      </c>
      <c r="L114" s="5"/>
      <c r="M114" s="56"/>
      <c r="N114" s="599"/>
      <c r="O114" s="595"/>
      <c r="P114" s="596"/>
      <c r="Q114" s="53"/>
    </row>
    <row r="115" spans="1:17" ht="18">
      <c r="A115" s="592"/>
      <c r="B115" s="1796" t="s">
        <v>1687</v>
      </c>
      <c r="C115" s="654" t="s">
        <v>46</v>
      </c>
      <c r="D115" s="784"/>
      <c r="E115" s="704" t="s">
        <v>695</v>
      </c>
      <c r="F115" s="710" t="s">
        <v>695</v>
      </c>
      <c r="G115" s="710" t="s">
        <v>695</v>
      </c>
      <c r="H115" s="710" t="s">
        <v>695</v>
      </c>
      <c r="I115" s="732" t="s">
        <v>695</v>
      </c>
      <c r="J115" s="732" t="s">
        <v>695</v>
      </c>
      <c r="K115" s="732" t="s">
        <v>695</v>
      </c>
      <c r="L115" s="5"/>
      <c r="M115" s="56"/>
      <c r="N115" s="599"/>
      <c r="O115" s="595"/>
      <c r="P115" s="596"/>
      <c r="Q115" s="53"/>
    </row>
    <row r="116" spans="1:17" ht="18">
      <c r="A116" s="592"/>
      <c r="B116" s="1799" t="s">
        <v>1724</v>
      </c>
      <c r="C116" s="654"/>
      <c r="D116" s="822"/>
      <c r="E116" s="704" t="s">
        <v>641</v>
      </c>
      <c r="F116" s="710" t="s">
        <v>641</v>
      </c>
      <c r="G116" s="710" t="s">
        <v>641</v>
      </c>
      <c r="H116" s="710" t="s">
        <v>641</v>
      </c>
      <c r="I116" s="732" t="s">
        <v>641</v>
      </c>
      <c r="J116" s="732" t="s">
        <v>641</v>
      </c>
      <c r="K116" s="732" t="s">
        <v>641</v>
      </c>
      <c r="L116" s="5"/>
      <c r="M116" s="56"/>
      <c r="N116" s="599"/>
      <c r="O116" s="595"/>
      <c r="P116" s="596"/>
      <c r="Q116" s="53"/>
    </row>
    <row r="117" spans="1:17" ht="18">
      <c r="A117" s="592"/>
      <c r="B117" s="1796" t="s">
        <v>699</v>
      </c>
      <c r="C117" s="654" t="s">
        <v>46</v>
      </c>
      <c r="D117" s="783"/>
      <c r="E117" s="704" t="s">
        <v>695</v>
      </c>
      <c r="F117" s="710" t="s">
        <v>695</v>
      </c>
      <c r="G117" s="710" t="s">
        <v>695</v>
      </c>
      <c r="H117" s="710" t="s">
        <v>695</v>
      </c>
      <c r="I117" s="732" t="s">
        <v>695</v>
      </c>
      <c r="J117" s="732" t="s">
        <v>695</v>
      </c>
      <c r="K117" s="732" t="s">
        <v>695</v>
      </c>
      <c r="L117" s="5"/>
      <c r="M117" s="56"/>
      <c r="N117" s="599"/>
      <c r="O117" s="595"/>
      <c r="P117" s="596"/>
      <c r="Q117" s="53"/>
    </row>
    <row r="118" spans="1:17" ht="18">
      <c r="A118" s="592"/>
      <c r="B118" s="813" t="s">
        <v>1727</v>
      </c>
      <c r="C118" s="654"/>
      <c r="D118" s="812"/>
      <c r="E118" s="704" t="s">
        <v>1722</v>
      </c>
      <c r="F118" s="710" t="s">
        <v>1722</v>
      </c>
      <c r="G118" s="710" t="s">
        <v>1722</v>
      </c>
      <c r="H118" s="710" t="s">
        <v>1722</v>
      </c>
      <c r="I118" s="732" t="s">
        <v>1722</v>
      </c>
      <c r="J118" s="732" t="s">
        <v>1722</v>
      </c>
      <c r="K118" s="732" t="s">
        <v>1722</v>
      </c>
      <c r="L118" s="5"/>
      <c r="M118" s="56"/>
      <c r="N118" s="599"/>
      <c r="O118" s="595"/>
      <c r="P118" s="596"/>
      <c r="Q118" s="53"/>
    </row>
    <row r="119" spans="1:17" ht="18">
      <c r="A119" s="592"/>
      <c r="B119" s="801" t="s">
        <v>1721</v>
      </c>
      <c r="C119" s="59"/>
      <c r="D119" s="754"/>
      <c r="E119" s="704" t="s">
        <v>1722</v>
      </c>
      <c r="F119" s="710" t="s">
        <v>1722</v>
      </c>
      <c r="G119" s="710" t="s">
        <v>1722</v>
      </c>
      <c r="H119" s="710" t="s">
        <v>1722</v>
      </c>
      <c r="I119" s="732" t="s">
        <v>1722</v>
      </c>
      <c r="J119" s="732" t="s">
        <v>1722</v>
      </c>
      <c r="K119" s="732" t="s">
        <v>1722</v>
      </c>
      <c r="L119" s="5"/>
      <c r="M119" s="593"/>
      <c r="N119" s="594"/>
      <c r="O119" s="595"/>
      <c r="P119" s="596"/>
      <c r="Q119" s="53"/>
    </row>
    <row r="120" spans="1:17" ht="18">
      <c r="A120" s="592"/>
      <c r="B120" s="627" t="s">
        <v>1644</v>
      </c>
      <c r="C120" s="612"/>
      <c r="D120" s="612"/>
      <c r="E120" s="57"/>
      <c r="F120" s="57"/>
      <c r="G120" s="57"/>
      <c r="H120" s="58"/>
      <c r="I120" s="58"/>
      <c r="J120" s="58"/>
      <c r="K120" s="58"/>
      <c r="L120" s="49"/>
      <c r="M120" s="593"/>
      <c r="N120" s="594"/>
      <c r="O120" s="595"/>
      <c r="P120" s="610"/>
      <c r="Q120" s="611"/>
    </row>
    <row r="121" spans="1:17" ht="18">
      <c r="A121" s="592"/>
      <c r="B121" s="64" t="s">
        <v>1740</v>
      </c>
      <c r="C121" s="612"/>
      <c r="D121" s="612"/>
      <c r="E121" s="57"/>
      <c r="F121" s="57"/>
      <c r="G121" s="57"/>
      <c r="H121" s="58"/>
      <c r="I121" s="58"/>
      <c r="J121" s="58"/>
      <c r="K121" s="58"/>
      <c r="L121" s="49"/>
      <c r="M121" s="593"/>
      <c r="N121" s="594"/>
      <c r="O121" s="595"/>
      <c r="P121" s="610"/>
      <c r="Q121" s="611"/>
    </row>
    <row r="122" spans="1:17" ht="18">
      <c r="A122" s="592"/>
      <c r="B122" s="64" t="s">
        <v>1739</v>
      </c>
      <c r="C122" s="612"/>
      <c r="D122" s="612"/>
      <c r="E122" s="57"/>
      <c r="F122" s="57"/>
      <c r="G122" s="57"/>
      <c r="H122" s="58"/>
      <c r="I122" s="58"/>
      <c r="J122" s="58"/>
      <c r="K122" s="58"/>
      <c r="L122" s="49"/>
      <c r="M122" s="593"/>
      <c r="N122" s="594"/>
      <c r="O122" s="595"/>
      <c r="P122" s="610"/>
      <c r="Q122" s="611"/>
    </row>
    <row r="123" spans="1:17" ht="18">
      <c r="A123" s="592"/>
      <c r="B123" s="627" t="s">
        <v>1645</v>
      </c>
      <c r="C123" s="612"/>
      <c r="D123" s="612"/>
      <c r="E123" s="57"/>
      <c r="F123" s="57"/>
      <c r="G123" s="57"/>
      <c r="H123" s="58"/>
      <c r="I123" s="58"/>
      <c r="J123" s="58"/>
      <c r="K123" s="58"/>
      <c r="L123" s="49"/>
      <c r="M123" s="593"/>
      <c r="N123" s="594"/>
      <c r="O123" s="595"/>
      <c r="P123" s="610"/>
      <c r="Q123" s="611"/>
    </row>
    <row r="126" spans="1:17" ht="15" customHeight="1">
      <c r="B126" s="618" t="s">
        <v>1565</v>
      </c>
      <c r="C126" s="733"/>
      <c r="D126" s="734" t="s">
        <v>1649</v>
      </c>
      <c r="E126" s="735" t="s">
        <v>1686</v>
      </c>
      <c r="F126" s="735" t="s">
        <v>1686</v>
      </c>
      <c r="G126" s="735" t="s">
        <v>1686</v>
      </c>
      <c r="H126" s="735" t="s">
        <v>1686</v>
      </c>
      <c r="I126" s="759" t="s">
        <v>1654</v>
      </c>
      <c r="J126" s="767"/>
      <c r="K126" s="768"/>
    </row>
    <row r="127" spans="1:17" ht="38.25" customHeight="1">
      <c r="B127" s="3140" t="s">
        <v>1831</v>
      </c>
      <c r="C127" s="624"/>
      <c r="D127" s="617" t="s">
        <v>1657</v>
      </c>
      <c r="E127" s="786" t="s">
        <v>1692</v>
      </c>
      <c r="F127" s="664" t="s">
        <v>1694</v>
      </c>
      <c r="G127" s="664" t="s">
        <v>1695</v>
      </c>
      <c r="H127" s="664" t="s">
        <v>1701</v>
      </c>
      <c r="I127" s="760" t="s">
        <v>1670</v>
      </c>
      <c r="J127" s="760"/>
      <c r="K127" s="769"/>
    </row>
    <row r="128" spans="1:17" ht="15" customHeight="1">
      <c r="B128" s="3141"/>
      <c r="C128" s="624"/>
      <c r="D128" s="617" t="s">
        <v>1545</v>
      </c>
      <c r="E128" s="615" t="s">
        <v>1538</v>
      </c>
      <c r="F128" s="615" t="s">
        <v>1538</v>
      </c>
      <c r="G128" s="619" t="s">
        <v>1538</v>
      </c>
      <c r="H128" s="619" t="s">
        <v>1538</v>
      </c>
      <c r="I128" s="615" t="s">
        <v>1538</v>
      </c>
      <c r="J128" s="761"/>
      <c r="K128" s="770"/>
    </row>
    <row r="129" spans="2:11" ht="17.25">
      <c r="B129" s="149"/>
      <c r="C129" s="624"/>
      <c r="D129" s="617" t="s">
        <v>1671</v>
      </c>
      <c r="E129" s="785" t="s">
        <v>1690</v>
      </c>
      <c r="F129" s="789" t="s">
        <v>1696</v>
      </c>
      <c r="G129" s="790" t="s">
        <v>1699</v>
      </c>
      <c r="H129" s="790" t="s">
        <v>1700</v>
      </c>
      <c r="I129" s="762" t="s">
        <v>1660</v>
      </c>
      <c r="J129" s="761"/>
      <c r="K129" s="771"/>
    </row>
    <row r="130" spans="2:11" ht="15" customHeight="1">
      <c r="B130" s="659" t="s">
        <v>1698</v>
      </c>
      <c r="C130" s="689"/>
      <c r="D130" s="685" t="s">
        <v>1658</v>
      </c>
      <c r="E130" s="787" t="s">
        <v>1693</v>
      </c>
      <c r="F130" s="787" t="s">
        <v>1666</v>
      </c>
      <c r="G130" s="787" t="s">
        <v>1666</v>
      </c>
      <c r="H130" s="787" t="s">
        <v>1666</v>
      </c>
      <c r="I130" s="788" t="s">
        <v>1666</v>
      </c>
      <c r="J130" s="772"/>
      <c r="K130" s="773"/>
    </row>
    <row r="131" spans="2:11" ht="17.25" hidden="1">
      <c r="B131" s="659"/>
      <c r="C131" s="624"/>
      <c r="D131" s="1">
        <v>100</v>
      </c>
      <c r="E131" s="681">
        <f>MIN(E132:E233)</f>
        <v>1476998</v>
      </c>
      <c r="F131" s="681">
        <f>MIN(F132:F233)</f>
        <v>201929</v>
      </c>
      <c r="G131" s="681">
        <f>MIN(G132:G233)</f>
        <v>376380</v>
      </c>
      <c r="H131" s="681">
        <f>MIN(H132:H233)</f>
        <v>323665</v>
      </c>
      <c r="I131" s="681">
        <f>MIN(I132:I233)</f>
        <v>1562660</v>
      </c>
      <c r="J131" s="774"/>
      <c r="K131" s="775"/>
    </row>
    <row r="132" spans="2:11" ht="17.25">
      <c r="B132" s="1815" t="s">
        <v>1608</v>
      </c>
      <c r="C132" s="721"/>
      <c r="D132" s="737">
        <f>SUM(E132/E$131,F132/F$131,G132/G$131,H$132/H131,I132/I$131)/5*100</f>
        <v>334.70046388296117</v>
      </c>
      <c r="E132" s="679">
        <v>5463062</v>
      </c>
      <c r="F132" s="641">
        <v>1048593</v>
      </c>
      <c r="G132" s="679">
        <v>1048593</v>
      </c>
      <c r="H132" s="680">
        <v>674513</v>
      </c>
      <c r="I132" s="763">
        <v>4646417</v>
      </c>
      <c r="J132" s="776"/>
      <c r="K132" s="147"/>
    </row>
    <row r="133" spans="2:11" ht="17.25">
      <c r="B133" s="1816" t="s">
        <v>852</v>
      </c>
      <c r="C133" s="150" t="s">
        <v>46</v>
      </c>
      <c r="D133" s="737">
        <f>SUM(E133/E$131,F133/F$131,G133/G$131,H133/H$131,I133/I$131)/5*100</f>
        <v>100.03322539771928</v>
      </c>
      <c r="E133" s="726">
        <v>1476998</v>
      </c>
      <c r="F133" s="639">
        <v>201929</v>
      </c>
      <c r="G133" s="639">
        <v>376380</v>
      </c>
      <c r="H133" s="639">
        <v>323665</v>
      </c>
      <c r="I133" s="825">
        <v>1565256</v>
      </c>
      <c r="J133" s="777"/>
      <c r="K133" s="63"/>
    </row>
    <row r="134" spans="2:11" ht="17.25">
      <c r="B134" s="1797" t="s">
        <v>1706</v>
      </c>
      <c r="C134" s="148"/>
      <c r="D134" s="737">
        <f>SUM(E134/E$131,F134/F$131,G134/G$131,H134/H$131,I134/I$131)/5*100</f>
        <v>102.81624715384399</v>
      </c>
      <c r="E134" s="811">
        <v>1536232</v>
      </c>
      <c r="F134" s="811">
        <v>205036</v>
      </c>
      <c r="G134" s="811">
        <v>385972</v>
      </c>
      <c r="H134" s="811">
        <v>343032</v>
      </c>
      <c r="I134" s="739">
        <v>1562660</v>
      </c>
      <c r="J134" s="810"/>
      <c r="K134" s="63"/>
    </row>
    <row r="135" spans="2:11" ht="17.25">
      <c r="B135" s="2975" t="s">
        <v>1711</v>
      </c>
      <c r="C135" s="150" t="s">
        <v>46</v>
      </c>
      <c r="D135" s="737">
        <f>SUM(E135/E$131,F135/F$131,G135/G$131,H135/H$131,I135/I$131)/5*100</f>
        <v>105.60214590868947</v>
      </c>
      <c r="E135" s="807">
        <v>1626883</v>
      </c>
      <c r="F135" s="807">
        <v>205276</v>
      </c>
      <c r="G135" s="807">
        <v>390678</v>
      </c>
      <c r="H135" s="807">
        <v>355153</v>
      </c>
      <c r="I135" s="676">
        <v>1604506</v>
      </c>
      <c r="J135" s="777"/>
      <c r="K135" s="63"/>
    </row>
    <row r="136" spans="2:11" ht="17.25">
      <c r="B136" s="1818" t="s">
        <v>896</v>
      </c>
      <c r="C136" s="62"/>
      <c r="D136" s="737">
        <f>SUM(E136/E$131,F136/F$131,G136/G$131,H136/H$131,I136/I$131)/5*100</f>
        <v>106.37945337986912</v>
      </c>
      <c r="E136" s="807">
        <v>1582467</v>
      </c>
      <c r="F136" s="807">
        <v>217349</v>
      </c>
      <c r="G136" s="807">
        <v>408049</v>
      </c>
      <c r="H136" s="807">
        <v>348284</v>
      </c>
      <c r="I136" s="676">
        <v>1579845</v>
      </c>
      <c r="J136" s="777"/>
      <c r="K136" s="63"/>
    </row>
    <row r="137" spans="2:11" ht="17.25">
      <c r="B137" s="1817" t="s">
        <v>1555</v>
      </c>
      <c r="C137" s="1837" t="s">
        <v>46</v>
      </c>
      <c r="D137" s="822">
        <f t="shared" ref="D137:D168" si="6">SUM(E137/E$131,F137/F$131,G137/G$131,H137/H$131,I137/I$131)/5*100</f>
        <v>108.21582386413185</v>
      </c>
      <c r="E137" s="807">
        <v>1631540</v>
      </c>
      <c r="F137" s="807">
        <v>219475</v>
      </c>
      <c r="G137" s="807">
        <v>418470</v>
      </c>
      <c r="H137" s="807">
        <v>342815</v>
      </c>
      <c r="I137" s="1836">
        <v>1638093</v>
      </c>
      <c r="J137" s="810"/>
      <c r="K137" s="63"/>
    </row>
    <row r="138" spans="2:11" ht="17.25">
      <c r="B138" s="1797" t="s">
        <v>1566</v>
      </c>
      <c r="C138" s="814"/>
      <c r="D138" s="737">
        <f t="shared" si="6"/>
        <v>109.01220434617839</v>
      </c>
      <c r="E138" s="807">
        <v>1716600</v>
      </c>
      <c r="F138" s="807">
        <v>220423</v>
      </c>
      <c r="G138" s="807">
        <v>402323</v>
      </c>
      <c r="H138" s="807">
        <v>352011</v>
      </c>
      <c r="I138" s="676">
        <v>1625628</v>
      </c>
      <c r="J138" s="777"/>
      <c r="K138" s="63"/>
    </row>
    <row r="139" spans="2:11" ht="17.25">
      <c r="B139" s="799" t="s">
        <v>1673</v>
      </c>
      <c r="C139" s="814"/>
      <c r="D139" s="737">
        <f t="shared" si="6"/>
        <v>109.07923530486654</v>
      </c>
      <c r="E139" s="675">
        <v>1618167</v>
      </c>
      <c r="F139" s="675">
        <v>227060</v>
      </c>
      <c r="G139" s="675">
        <v>403913</v>
      </c>
      <c r="H139" s="675">
        <v>355213</v>
      </c>
      <c r="I139" s="676">
        <v>1661585</v>
      </c>
      <c r="J139" s="777"/>
      <c r="K139" s="63"/>
    </row>
    <row r="140" spans="2:11" ht="17.25">
      <c r="B140" s="1797" t="s">
        <v>1242</v>
      </c>
      <c r="C140" s="821" t="s">
        <v>46</v>
      </c>
      <c r="D140" s="737">
        <f t="shared" si="6"/>
        <v>109.75179397631236</v>
      </c>
      <c r="E140" s="795">
        <v>1660429</v>
      </c>
      <c r="F140" s="795">
        <v>224093</v>
      </c>
      <c r="G140" s="795">
        <v>422531</v>
      </c>
      <c r="H140" s="795">
        <v>345985</v>
      </c>
      <c r="I140" s="815">
        <v>1659636</v>
      </c>
      <c r="J140" s="810"/>
      <c r="K140" s="63"/>
    </row>
    <row r="141" spans="2:11" ht="17.25">
      <c r="B141" s="819" t="s">
        <v>1736</v>
      </c>
      <c r="C141" s="1825" t="s">
        <v>46</v>
      </c>
      <c r="D141" s="737">
        <f t="shared" si="6"/>
        <v>113.49879988591567</v>
      </c>
      <c r="E141" s="63">
        <v>1732511</v>
      </c>
      <c r="F141" s="1801">
        <v>238484</v>
      </c>
      <c r="G141" s="1801">
        <v>433526</v>
      </c>
      <c r="H141" s="1801">
        <v>346177</v>
      </c>
      <c r="I141" s="1840">
        <v>1718195</v>
      </c>
      <c r="J141" s="1802"/>
      <c r="K141" s="63"/>
    </row>
    <row r="142" spans="2:11" ht="17.25">
      <c r="B142" s="1805" t="s">
        <v>1737</v>
      </c>
      <c r="C142" s="1825" t="s">
        <v>46</v>
      </c>
      <c r="D142" s="737">
        <f t="shared" si="6"/>
        <v>114.17858242482937</v>
      </c>
      <c r="E142" s="1803">
        <v>1763131</v>
      </c>
      <c r="F142" s="1803">
        <v>240741</v>
      </c>
      <c r="G142" s="1803">
        <v>435028</v>
      </c>
      <c r="H142" s="1803">
        <v>344192</v>
      </c>
      <c r="I142" s="1826">
        <v>1724794</v>
      </c>
      <c r="J142" s="1802"/>
      <c r="K142" s="63"/>
    </row>
    <row r="143" spans="2:11" ht="17.25">
      <c r="B143" s="1823" t="s">
        <v>851</v>
      </c>
      <c r="C143" s="1825" t="s">
        <v>46</v>
      </c>
      <c r="D143" s="737">
        <f t="shared" si="6"/>
        <v>116.12102896092462</v>
      </c>
      <c r="E143" s="1803">
        <v>1820128</v>
      </c>
      <c r="F143" s="1803">
        <v>241315</v>
      </c>
      <c r="G143" s="1803">
        <v>448208</v>
      </c>
      <c r="H143" s="1803">
        <v>349410</v>
      </c>
      <c r="I143" s="1804">
        <v>1731905</v>
      </c>
      <c r="J143" s="1802"/>
      <c r="K143" s="63"/>
    </row>
    <row r="144" spans="2:11" ht="17.25">
      <c r="B144" s="1824" t="s">
        <v>1687</v>
      </c>
      <c r="C144" s="1825" t="s">
        <v>46</v>
      </c>
      <c r="D144" s="737">
        <f t="shared" si="6"/>
        <v>116.67002356223395</v>
      </c>
      <c r="E144" s="1803">
        <v>1804581</v>
      </c>
      <c r="F144" s="1803">
        <v>244940</v>
      </c>
      <c r="G144" s="1803">
        <v>439587</v>
      </c>
      <c r="H144" s="1803">
        <v>361304</v>
      </c>
      <c r="I144" s="1804">
        <v>1741564</v>
      </c>
      <c r="J144" s="810"/>
      <c r="K144" s="63"/>
    </row>
    <row r="145" spans="2:11" ht="17.25">
      <c r="B145" s="1793" t="s">
        <v>1675</v>
      </c>
      <c r="C145" s="1800"/>
      <c r="D145" s="737">
        <f t="shared" si="6"/>
        <v>117.25946720931985</v>
      </c>
      <c r="E145" s="1803">
        <v>1834109</v>
      </c>
      <c r="F145" s="1803">
        <v>238498</v>
      </c>
      <c r="G145" s="1803">
        <v>439812</v>
      </c>
      <c r="H145" s="1803">
        <v>363201</v>
      </c>
      <c r="I145" s="1804">
        <v>1796138</v>
      </c>
      <c r="J145" s="1802"/>
      <c r="K145" s="63"/>
    </row>
    <row r="146" spans="2:11" ht="17.25">
      <c r="B146" s="2976" t="s">
        <v>1712</v>
      </c>
      <c r="C146" s="1800"/>
      <c r="D146" s="737">
        <f t="shared" si="6"/>
        <v>120.83227800115918</v>
      </c>
      <c r="E146" s="1803">
        <v>1891646</v>
      </c>
      <c r="F146" s="1803">
        <v>251864</v>
      </c>
      <c r="G146" s="1803">
        <v>465317</v>
      </c>
      <c r="H146" s="1803">
        <v>371641</v>
      </c>
      <c r="I146" s="1804">
        <v>1764343</v>
      </c>
      <c r="J146" s="1802"/>
      <c r="K146" s="63"/>
    </row>
    <row r="147" spans="2:11" ht="17.25">
      <c r="B147" s="1818" t="s">
        <v>1704</v>
      </c>
      <c r="C147" s="1825" t="s">
        <v>46</v>
      </c>
      <c r="D147" s="737">
        <f t="shared" si="6"/>
        <v>121.57750760738071</v>
      </c>
      <c r="E147" s="1803">
        <v>1919889</v>
      </c>
      <c r="F147" s="1803">
        <v>250871</v>
      </c>
      <c r="G147" s="1803">
        <v>467961</v>
      </c>
      <c r="H147" s="1803">
        <v>369303</v>
      </c>
      <c r="I147" s="1804">
        <v>1800684</v>
      </c>
      <c r="J147" s="1802"/>
      <c r="K147" s="63"/>
    </row>
    <row r="148" spans="2:11" ht="17.25">
      <c r="B148" s="1797" t="s">
        <v>1509</v>
      </c>
      <c r="C148" s="1838" t="s">
        <v>46</v>
      </c>
      <c r="D148" s="737">
        <f t="shared" si="6"/>
        <v>121.57750760738071</v>
      </c>
      <c r="E148" s="63">
        <v>1919889</v>
      </c>
      <c r="F148" s="740">
        <v>250871</v>
      </c>
      <c r="G148" s="740">
        <v>467961</v>
      </c>
      <c r="H148" s="740">
        <v>369303</v>
      </c>
      <c r="I148" s="810">
        <v>1800684</v>
      </c>
      <c r="J148" s="810"/>
      <c r="K148" s="63"/>
    </row>
    <row r="149" spans="2:11" ht="17.25">
      <c r="B149" s="1817" t="s">
        <v>1508</v>
      </c>
      <c r="C149" s="150" t="s">
        <v>46</v>
      </c>
      <c r="D149" s="737">
        <f t="shared" si="6"/>
        <v>121.57918980856155</v>
      </c>
      <c r="E149" s="727">
        <v>1919896</v>
      </c>
      <c r="F149" s="738">
        <v>250878</v>
      </c>
      <c r="G149" s="738">
        <v>467968</v>
      </c>
      <c r="H149" s="738">
        <v>369310</v>
      </c>
      <c r="I149" s="1827">
        <v>1800691</v>
      </c>
      <c r="J149" s="777"/>
      <c r="K149" s="63"/>
    </row>
    <row r="150" spans="2:11" ht="17.25">
      <c r="B150" s="1817" t="s">
        <v>1732</v>
      </c>
      <c r="C150" s="1787" t="s">
        <v>46</v>
      </c>
      <c r="D150" s="737">
        <f t="shared" si="6"/>
        <v>121.65252534239275</v>
      </c>
      <c r="E150" s="674">
        <v>1904845</v>
      </c>
      <c r="F150" s="675">
        <v>246585</v>
      </c>
      <c r="G150" s="675">
        <v>456848</v>
      </c>
      <c r="H150" s="675">
        <v>380421</v>
      </c>
      <c r="I150" s="824">
        <v>1848091</v>
      </c>
      <c r="J150" s="810"/>
      <c r="K150" s="63"/>
    </row>
    <row r="151" spans="2:11" ht="17.25">
      <c r="B151" s="1842" t="s">
        <v>1730</v>
      </c>
      <c r="C151" s="1788"/>
      <c r="D151" s="737">
        <f t="shared" si="6"/>
        <v>121.68542099966682</v>
      </c>
      <c r="E151" s="674">
        <v>1904934</v>
      </c>
      <c r="F151" s="675">
        <v>246727</v>
      </c>
      <c r="G151" s="675">
        <v>456986</v>
      </c>
      <c r="H151" s="675">
        <v>380565</v>
      </c>
      <c r="I151" s="824">
        <v>1848200</v>
      </c>
      <c r="J151" s="810"/>
      <c r="K151" s="63"/>
    </row>
    <row r="152" spans="2:11" ht="17.25">
      <c r="B152" s="1817" t="s">
        <v>1679</v>
      </c>
      <c r="C152" s="148"/>
      <c r="D152" s="737">
        <f t="shared" si="6"/>
        <v>121.75201779403768</v>
      </c>
      <c r="E152" s="674">
        <v>1904804</v>
      </c>
      <c r="F152" s="675">
        <v>247605</v>
      </c>
      <c r="G152" s="675">
        <v>456889</v>
      </c>
      <c r="H152" s="675">
        <v>380384</v>
      </c>
      <c r="I152" s="1789">
        <v>1848023</v>
      </c>
      <c r="J152" s="777"/>
      <c r="K152" s="63"/>
    </row>
    <row r="153" spans="2:11" ht="17.25">
      <c r="B153" s="1843" t="s">
        <v>1906</v>
      </c>
      <c r="C153" s="144"/>
      <c r="D153" s="737">
        <f t="shared" si="6"/>
        <v>121.88177355205711</v>
      </c>
      <c r="E153" s="728">
        <v>1868911</v>
      </c>
      <c r="F153" s="713">
        <v>258401</v>
      </c>
      <c r="G153" s="713">
        <v>446217</v>
      </c>
      <c r="H153" s="713">
        <v>387376</v>
      </c>
      <c r="I153" s="713">
        <v>1823140</v>
      </c>
      <c r="J153" s="777"/>
      <c r="K153" s="63"/>
    </row>
    <row r="154" spans="2:11" ht="17.25">
      <c r="B154" s="1818" t="s">
        <v>937</v>
      </c>
      <c r="C154" s="158"/>
      <c r="D154" s="737">
        <f t="shared" si="6"/>
        <v>122.14916275713547</v>
      </c>
      <c r="E154" s="728">
        <v>1878884</v>
      </c>
      <c r="F154" s="713">
        <v>253393</v>
      </c>
      <c r="G154" s="713">
        <v>468657</v>
      </c>
      <c r="H154" s="713">
        <v>371764</v>
      </c>
      <c r="I154" s="764">
        <v>1854444</v>
      </c>
      <c r="J154" s="777"/>
      <c r="K154" s="63"/>
    </row>
    <row r="155" spans="2:11" ht="17.25">
      <c r="B155" s="1797" t="s">
        <v>847</v>
      </c>
      <c r="C155" s="148"/>
      <c r="D155" s="737">
        <f t="shared" si="6"/>
        <v>122.79112114553143</v>
      </c>
      <c r="E155" s="728">
        <v>1982090</v>
      </c>
      <c r="F155" s="713">
        <v>257006</v>
      </c>
      <c r="G155" s="713">
        <v>467211</v>
      </c>
      <c r="H155" s="690">
        <v>361256</v>
      </c>
      <c r="I155" s="701">
        <v>1824187</v>
      </c>
      <c r="J155" s="777"/>
      <c r="K155" s="63"/>
    </row>
    <row r="156" spans="2:11" ht="17.25">
      <c r="B156" s="1821" t="s">
        <v>897</v>
      </c>
      <c r="C156" s="142"/>
      <c r="D156" s="737">
        <f t="shared" si="6"/>
        <v>123.12891697980812</v>
      </c>
      <c r="E156" s="728">
        <v>1853783</v>
      </c>
      <c r="F156" s="713">
        <v>275657</v>
      </c>
      <c r="G156" s="713">
        <v>454147</v>
      </c>
      <c r="H156" s="713">
        <v>363541</v>
      </c>
      <c r="I156" s="709">
        <v>1885202</v>
      </c>
      <c r="J156" s="777"/>
      <c r="K156" s="63"/>
    </row>
    <row r="157" spans="2:11" ht="17.25">
      <c r="B157" s="1797" t="s">
        <v>850</v>
      </c>
      <c r="C157" s="791"/>
      <c r="D157" s="737">
        <f t="shared" si="6"/>
        <v>123.39365575872807</v>
      </c>
      <c r="E157" s="728">
        <v>1914848</v>
      </c>
      <c r="F157" s="713">
        <v>255188</v>
      </c>
      <c r="G157" s="713">
        <v>473172</v>
      </c>
      <c r="H157" s="713">
        <v>383272</v>
      </c>
      <c r="I157" s="709">
        <v>1825433</v>
      </c>
      <c r="J157" s="777"/>
      <c r="K157" s="63"/>
    </row>
    <row r="158" spans="2:11" ht="17.25">
      <c r="B158" s="1806" t="s">
        <v>856</v>
      </c>
      <c r="C158" s="748"/>
      <c r="D158" s="737">
        <f t="shared" si="6"/>
        <v>123.40035231033181</v>
      </c>
      <c r="E158" s="728">
        <v>1961614</v>
      </c>
      <c r="F158" s="713">
        <v>251422</v>
      </c>
      <c r="G158" s="713">
        <v>479875</v>
      </c>
      <c r="H158" s="713">
        <v>363473</v>
      </c>
      <c r="I158" s="709">
        <v>1873382</v>
      </c>
      <c r="J158" s="777"/>
      <c r="K158" s="63"/>
    </row>
    <row r="159" spans="2:11" ht="17.25">
      <c r="B159" s="800" t="s">
        <v>1688</v>
      </c>
      <c r="C159" s="1839"/>
      <c r="D159" s="737">
        <f t="shared" si="6"/>
        <v>123.92005940068032</v>
      </c>
      <c r="E159" s="728">
        <v>1985679</v>
      </c>
      <c r="F159" s="713">
        <v>254694</v>
      </c>
      <c r="G159" s="713">
        <v>467684</v>
      </c>
      <c r="H159" s="713">
        <v>370349</v>
      </c>
      <c r="I159" s="709">
        <v>1880624</v>
      </c>
      <c r="J159" s="777"/>
      <c r="K159" s="63"/>
    </row>
    <row r="160" spans="2:11" ht="17.25">
      <c r="B160" s="800" t="s">
        <v>1554</v>
      </c>
      <c r="C160" s="142"/>
      <c r="D160" s="737">
        <f t="shared" si="6"/>
        <v>124.05449946932603</v>
      </c>
      <c r="E160" s="701">
        <v>1786081</v>
      </c>
      <c r="F160" s="709">
        <v>276516</v>
      </c>
      <c r="G160" s="709">
        <v>503373</v>
      </c>
      <c r="H160" s="709">
        <v>368650</v>
      </c>
      <c r="I160" s="764">
        <v>1793458</v>
      </c>
      <c r="J160" s="777"/>
      <c r="K160" s="63"/>
    </row>
    <row r="161" spans="2:11" ht="17.25">
      <c r="B161" s="800" t="s">
        <v>1713</v>
      </c>
      <c r="C161" s="144" t="s">
        <v>46</v>
      </c>
      <c r="D161" s="737">
        <f t="shared" si="6"/>
        <v>124.73401676578011</v>
      </c>
      <c r="E161" s="728">
        <v>1931386</v>
      </c>
      <c r="F161" s="713">
        <v>278884</v>
      </c>
      <c r="G161" s="713">
        <v>445755</v>
      </c>
      <c r="H161" s="713">
        <v>376200</v>
      </c>
      <c r="I161" s="764">
        <v>1877261</v>
      </c>
      <c r="J161" s="777"/>
      <c r="K161" s="63"/>
    </row>
    <row r="162" spans="2:11" ht="17.25">
      <c r="B162" s="1817" t="s">
        <v>1590</v>
      </c>
      <c r="C162" s="61"/>
      <c r="D162" s="737">
        <f t="shared" si="6"/>
        <v>126.38048576882102</v>
      </c>
      <c r="E162" s="728">
        <v>1993453</v>
      </c>
      <c r="F162" s="713">
        <v>283028</v>
      </c>
      <c r="G162" s="713">
        <v>476720</v>
      </c>
      <c r="H162" s="713">
        <v>358478</v>
      </c>
      <c r="I162" s="764">
        <v>1865170</v>
      </c>
      <c r="J162" s="777"/>
      <c r="K162" s="63"/>
    </row>
    <row r="163" spans="2:11" ht="17.25">
      <c r="B163" s="1817" t="s">
        <v>1733</v>
      </c>
      <c r="C163" s="748"/>
      <c r="D163" s="737">
        <f t="shared" si="6"/>
        <v>127.23771544664839</v>
      </c>
      <c r="E163" s="728">
        <v>2192888</v>
      </c>
      <c r="F163" s="713">
        <v>249747</v>
      </c>
      <c r="G163" s="713">
        <v>459476</v>
      </c>
      <c r="H163" s="713">
        <v>372244</v>
      </c>
      <c r="I163" s="764">
        <v>1983828</v>
      </c>
      <c r="J163" s="777"/>
      <c r="K163" s="63"/>
    </row>
    <row r="164" spans="2:11" ht="17.25">
      <c r="B164" s="1818" t="s">
        <v>1723</v>
      </c>
      <c r="C164" s="582" t="s">
        <v>46</v>
      </c>
      <c r="D164" s="737">
        <f t="shared" si="6"/>
        <v>130.24050556890506</v>
      </c>
      <c r="E164" s="728">
        <v>2017904</v>
      </c>
      <c r="F164" s="713">
        <v>286210</v>
      </c>
      <c r="G164" s="713">
        <v>479340</v>
      </c>
      <c r="H164" s="713">
        <v>392460</v>
      </c>
      <c r="I164" s="764">
        <v>1941328</v>
      </c>
      <c r="J164" s="777"/>
      <c r="K164" s="63"/>
    </row>
    <row r="165" spans="2:11" ht="17.25">
      <c r="B165" s="1829" t="s">
        <v>857</v>
      </c>
      <c r="C165" s="143"/>
      <c r="D165" s="737">
        <f t="shared" si="6"/>
        <v>130.68857469311922</v>
      </c>
      <c r="E165" s="728">
        <v>2167619</v>
      </c>
      <c r="F165" s="713">
        <v>260675</v>
      </c>
      <c r="G165" s="713">
        <v>493283</v>
      </c>
      <c r="H165" s="713">
        <v>393647</v>
      </c>
      <c r="I165" s="764">
        <v>1951926</v>
      </c>
      <c r="J165" s="777"/>
      <c r="K165" s="63"/>
    </row>
    <row r="166" spans="2:11" ht="17.25">
      <c r="B166" s="1818" t="s">
        <v>1536</v>
      </c>
      <c r="C166" s="60"/>
      <c r="D166" s="737">
        <f t="shared" si="6"/>
        <v>130.88236365125809</v>
      </c>
      <c r="E166" s="728">
        <v>2001664</v>
      </c>
      <c r="F166" s="713">
        <v>274416</v>
      </c>
      <c r="G166" s="713">
        <v>517504</v>
      </c>
      <c r="H166" s="713">
        <v>371504</v>
      </c>
      <c r="I166" s="764">
        <v>2042656</v>
      </c>
      <c r="J166" s="777"/>
      <c r="K166" s="63"/>
    </row>
    <row r="167" spans="2:11" ht="17.25">
      <c r="B167" s="750" t="s">
        <v>1705</v>
      </c>
      <c r="C167" s="59" t="s">
        <v>46</v>
      </c>
      <c r="D167" s="737">
        <f t="shared" si="6"/>
        <v>132.14670948885239</v>
      </c>
      <c r="E167" s="728">
        <v>2139585</v>
      </c>
      <c r="F167" s="713">
        <v>267014</v>
      </c>
      <c r="G167" s="713">
        <v>504273</v>
      </c>
      <c r="H167" s="713">
        <v>377497</v>
      </c>
      <c r="I167" s="765">
        <v>2078803</v>
      </c>
      <c r="J167" s="777"/>
      <c r="K167" s="63"/>
    </row>
    <row r="168" spans="2:11" ht="17.25">
      <c r="B168" s="1818" t="s">
        <v>1715</v>
      </c>
      <c r="C168" s="60" t="s">
        <v>46</v>
      </c>
      <c r="D168" s="737">
        <f t="shared" si="6"/>
        <v>133.04146108480995</v>
      </c>
      <c r="E168" s="728">
        <v>2174458</v>
      </c>
      <c r="F168" s="713">
        <v>271929</v>
      </c>
      <c r="G168" s="713">
        <v>487385</v>
      </c>
      <c r="H168" s="713">
        <v>386949</v>
      </c>
      <c r="I168" s="764">
        <v>2098263</v>
      </c>
      <c r="J168" s="777"/>
      <c r="K168" s="63"/>
    </row>
    <row r="169" spans="2:11" ht="17.25">
      <c r="B169" s="1797" t="s">
        <v>1708</v>
      </c>
      <c r="C169" s="60" t="s">
        <v>46</v>
      </c>
      <c r="D169" s="737">
        <f t="shared" ref="D169:D200" si="7">SUM(E169/E$131,F169/F$131,G169/G$131,H169/H$131,I169/I$131)/5*100</f>
        <v>133.36663024101748</v>
      </c>
      <c r="E169" s="728">
        <v>2174654</v>
      </c>
      <c r="F169" s="713">
        <v>274595</v>
      </c>
      <c r="G169" s="713">
        <v>488156</v>
      </c>
      <c r="H169" s="713">
        <v>387183</v>
      </c>
      <c r="I169" s="764">
        <v>2098500</v>
      </c>
      <c r="J169" s="777"/>
      <c r="K169" s="63"/>
    </row>
    <row r="170" spans="2:11" ht="17.25">
      <c r="B170" s="1817" t="s">
        <v>1709</v>
      </c>
      <c r="C170" s="60" t="s">
        <v>46</v>
      </c>
      <c r="D170" s="737">
        <f t="shared" si="7"/>
        <v>133.36789454513709</v>
      </c>
      <c r="E170" s="701">
        <v>2174702</v>
      </c>
      <c r="F170" s="709">
        <v>274595</v>
      </c>
      <c r="G170" s="709">
        <v>488156</v>
      </c>
      <c r="H170" s="709">
        <v>387183</v>
      </c>
      <c r="I170" s="764">
        <v>2098548</v>
      </c>
      <c r="J170" s="777"/>
      <c r="K170" s="63"/>
    </row>
    <row r="171" spans="2:11" ht="17.25">
      <c r="B171" s="1817" t="s">
        <v>1681</v>
      </c>
      <c r="C171" s="59" t="s">
        <v>46</v>
      </c>
      <c r="D171" s="737">
        <f t="shared" si="7"/>
        <v>133.41790350367683</v>
      </c>
      <c r="E171" s="728">
        <v>2153853</v>
      </c>
      <c r="F171" s="713">
        <v>277291</v>
      </c>
      <c r="G171" s="713">
        <v>496855</v>
      </c>
      <c r="H171" s="713">
        <v>412235</v>
      </c>
      <c r="I171" s="764">
        <v>1946582</v>
      </c>
      <c r="J171" s="777"/>
      <c r="K171" s="63"/>
    </row>
    <row r="172" spans="2:11" ht="17.25">
      <c r="B172" s="1817" t="s">
        <v>1682</v>
      </c>
      <c r="C172" s="60" t="s">
        <v>46</v>
      </c>
      <c r="D172" s="737">
        <f t="shared" si="7"/>
        <v>133.63501872638233</v>
      </c>
      <c r="E172" s="701">
        <v>2158545</v>
      </c>
      <c r="F172" s="709">
        <v>278123</v>
      </c>
      <c r="G172" s="709">
        <v>496789</v>
      </c>
      <c r="H172" s="709">
        <v>412606</v>
      </c>
      <c r="I172" s="764">
        <v>1950626</v>
      </c>
      <c r="J172" s="777"/>
      <c r="K172" s="63"/>
    </row>
    <row r="173" spans="2:11" ht="17.25">
      <c r="B173" s="1817" t="s">
        <v>1691</v>
      </c>
      <c r="C173" s="144"/>
      <c r="D173" s="737">
        <f t="shared" si="7"/>
        <v>133.73113808613286</v>
      </c>
      <c r="E173" s="728">
        <v>2135628</v>
      </c>
      <c r="F173" s="713">
        <v>278411</v>
      </c>
      <c r="G173" s="713">
        <v>518962</v>
      </c>
      <c r="H173" s="713">
        <v>372362</v>
      </c>
      <c r="I173" s="764">
        <v>2082394</v>
      </c>
      <c r="J173" s="777"/>
      <c r="K173" s="63"/>
    </row>
    <row r="174" spans="2:11" ht="17.25">
      <c r="B174" s="800" t="s">
        <v>1589</v>
      </c>
      <c r="C174" s="791"/>
      <c r="D174" s="737">
        <f t="shared" si="7"/>
        <v>134.63288027960093</v>
      </c>
      <c r="E174" s="728">
        <v>2122207</v>
      </c>
      <c r="F174" s="713">
        <v>281368</v>
      </c>
      <c r="G174" s="713">
        <v>526840</v>
      </c>
      <c r="H174" s="713">
        <v>376345</v>
      </c>
      <c r="I174" s="764">
        <v>2092228</v>
      </c>
      <c r="J174" s="777"/>
      <c r="K174" s="63"/>
    </row>
    <row r="175" spans="2:11" ht="17.25">
      <c r="B175" s="800" t="s">
        <v>899</v>
      </c>
      <c r="C175" s="1785"/>
      <c r="D175" s="737">
        <f t="shared" si="7"/>
        <v>135.55419753528818</v>
      </c>
      <c r="E175" s="728">
        <v>2206598</v>
      </c>
      <c r="F175" s="713">
        <v>290086</v>
      </c>
      <c r="G175" s="713">
        <v>488895</v>
      </c>
      <c r="H175" s="713">
        <v>390115</v>
      </c>
      <c r="I175" s="764">
        <v>2098521</v>
      </c>
      <c r="J175" s="777"/>
      <c r="K175" s="63"/>
    </row>
    <row r="176" spans="2:11" ht="17.25">
      <c r="B176" s="2977" t="s">
        <v>1677</v>
      </c>
      <c r="C176" s="146" t="s">
        <v>46</v>
      </c>
      <c r="D176" s="737">
        <f t="shared" si="7"/>
        <v>135.81457161342675</v>
      </c>
      <c r="E176" s="701">
        <v>2029108</v>
      </c>
      <c r="F176" s="709">
        <v>283404</v>
      </c>
      <c r="G176" s="709">
        <v>549524</v>
      </c>
      <c r="H176" s="709">
        <v>392318</v>
      </c>
      <c r="I176" s="764">
        <v>2096002</v>
      </c>
      <c r="J176" s="777"/>
      <c r="K176" s="63"/>
    </row>
    <row r="177" spans="2:11" ht="17.25">
      <c r="B177" s="757" t="s">
        <v>1546</v>
      </c>
      <c r="C177" s="62"/>
      <c r="D177" s="737">
        <f t="shared" si="7"/>
        <v>136.7241014877462</v>
      </c>
      <c r="E177" s="729">
        <v>2215686</v>
      </c>
      <c r="F177" s="743">
        <v>285014</v>
      </c>
      <c r="G177" s="743">
        <v>523158</v>
      </c>
      <c r="H177" s="743">
        <v>377754</v>
      </c>
      <c r="I177" s="764">
        <v>2136990</v>
      </c>
      <c r="J177" s="777"/>
      <c r="K177" s="63"/>
    </row>
    <row r="178" spans="2:11" ht="15.75" customHeight="1">
      <c r="B178" s="1817" t="s">
        <v>1605</v>
      </c>
      <c r="C178" s="144"/>
      <c r="D178" s="737">
        <f t="shared" si="7"/>
        <v>137.91996321788838</v>
      </c>
      <c r="E178" s="729">
        <v>2264553</v>
      </c>
      <c r="F178" s="743">
        <v>288158</v>
      </c>
      <c r="G178" s="743">
        <v>526853</v>
      </c>
      <c r="H178" s="743">
        <v>383465</v>
      </c>
      <c r="I178" s="764">
        <v>2111481</v>
      </c>
      <c r="J178" s="777"/>
      <c r="K178" s="63"/>
    </row>
    <row r="179" spans="2:11" ht="17.25">
      <c r="B179" s="800" t="s">
        <v>1710</v>
      </c>
      <c r="C179" s="1785"/>
      <c r="D179" s="737">
        <f t="shared" si="7"/>
        <v>138.50203598671033</v>
      </c>
      <c r="E179" s="701">
        <v>2314985</v>
      </c>
      <c r="F179" s="709">
        <v>290499</v>
      </c>
      <c r="G179" s="713">
        <v>487232</v>
      </c>
      <c r="H179" s="713">
        <v>395751</v>
      </c>
      <c r="I179" s="764">
        <v>2190669</v>
      </c>
      <c r="J179" s="777"/>
      <c r="K179" s="63"/>
    </row>
    <row r="180" spans="2:11" ht="15.75" customHeight="1">
      <c r="B180" s="1818" t="s">
        <v>1892</v>
      </c>
      <c r="C180" s="62"/>
      <c r="D180" s="737">
        <f t="shared" si="7"/>
        <v>139.83554546188307</v>
      </c>
      <c r="E180" s="729">
        <v>2231104</v>
      </c>
      <c r="F180" s="743">
        <v>314296</v>
      </c>
      <c r="G180" s="743">
        <v>512400</v>
      </c>
      <c r="H180" s="743">
        <v>409664</v>
      </c>
      <c r="I180" s="764">
        <v>2027784</v>
      </c>
      <c r="J180" s="777"/>
      <c r="K180" s="63"/>
    </row>
    <row r="181" spans="2:11" ht="17.25">
      <c r="B181" s="800" t="s">
        <v>1685</v>
      </c>
      <c r="C181" s="145"/>
      <c r="D181" s="737">
        <f t="shared" si="7"/>
        <v>140.81992338204216</v>
      </c>
      <c r="E181" s="729">
        <v>2208098</v>
      </c>
      <c r="F181" s="743">
        <v>287846</v>
      </c>
      <c r="G181" s="743">
        <v>549307</v>
      </c>
      <c r="H181" s="743">
        <v>398679</v>
      </c>
      <c r="I181" s="764">
        <v>2233529</v>
      </c>
      <c r="J181" s="777"/>
      <c r="K181" s="63"/>
    </row>
    <row r="182" spans="2:11" ht="17.25">
      <c r="B182" s="1817" t="s">
        <v>1680</v>
      </c>
      <c r="C182" s="142"/>
      <c r="D182" s="737">
        <f t="shared" si="7"/>
        <v>140.87993060830081</v>
      </c>
      <c r="E182" s="729">
        <v>2163044</v>
      </c>
      <c r="F182" s="743">
        <v>335362</v>
      </c>
      <c r="G182" s="743">
        <v>507362</v>
      </c>
      <c r="H182" s="743">
        <v>406254</v>
      </c>
      <c r="I182" s="764">
        <v>2055750</v>
      </c>
      <c r="J182" s="777"/>
      <c r="K182" s="63"/>
    </row>
    <row r="183" spans="2:11" ht="17.25">
      <c r="B183" s="1796" t="s">
        <v>699</v>
      </c>
      <c r="C183" s="59" t="s">
        <v>46</v>
      </c>
      <c r="D183" s="737">
        <f t="shared" si="7"/>
        <v>143.71636481780121</v>
      </c>
      <c r="E183" s="728">
        <v>2461167</v>
      </c>
      <c r="F183" s="713">
        <v>311508</v>
      </c>
      <c r="G183" s="713">
        <v>522586</v>
      </c>
      <c r="H183" s="713">
        <v>393267</v>
      </c>
      <c r="I183" s="765">
        <v>2146048</v>
      </c>
      <c r="J183" s="777"/>
      <c r="K183" s="63"/>
    </row>
    <row r="184" spans="2:11" ht="17.25">
      <c r="B184" s="751" t="s">
        <v>697</v>
      </c>
      <c r="C184" s="59" t="s">
        <v>46</v>
      </c>
      <c r="D184" s="792">
        <f t="shared" si="7"/>
        <v>145.28332638775825</v>
      </c>
      <c r="E184" s="728">
        <v>2326547</v>
      </c>
      <c r="F184" s="713">
        <v>309595</v>
      </c>
      <c r="G184" s="713">
        <v>550134</v>
      </c>
      <c r="H184" s="713">
        <v>399402</v>
      </c>
      <c r="I184" s="764">
        <v>2281717</v>
      </c>
      <c r="J184" s="777"/>
      <c r="K184" s="63"/>
    </row>
    <row r="185" spans="2:11" ht="17.25">
      <c r="B185" s="800" t="s">
        <v>1702</v>
      </c>
      <c r="C185" s="669" t="s">
        <v>46</v>
      </c>
      <c r="D185" s="737">
        <f t="shared" si="7"/>
        <v>145.4528099411159</v>
      </c>
      <c r="E185" s="728">
        <v>2386875</v>
      </c>
      <c r="F185" s="713">
        <v>306880</v>
      </c>
      <c r="G185" s="713">
        <v>561360</v>
      </c>
      <c r="H185" s="713">
        <v>395875</v>
      </c>
      <c r="I185" s="764">
        <v>2222563</v>
      </c>
      <c r="J185" s="777"/>
      <c r="K185" s="63"/>
    </row>
    <row r="186" spans="2:11" ht="17.25">
      <c r="B186" s="800" t="s">
        <v>1640</v>
      </c>
      <c r="C186" s="803"/>
      <c r="D186" s="737">
        <f t="shared" si="7"/>
        <v>146.25738656539932</v>
      </c>
      <c r="E186" s="701">
        <v>2522312</v>
      </c>
      <c r="F186" s="709">
        <v>321096</v>
      </c>
      <c r="G186" s="709">
        <v>523779</v>
      </c>
      <c r="H186" s="709">
        <v>374864</v>
      </c>
      <c r="I186" s="764">
        <v>2289593</v>
      </c>
      <c r="J186" s="777"/>
      <c r="K186" s="63"/>
    </row>
    <row r="187" spans="2:11" ht="17.25">
      <c r="B187" s="1817" t="s">
        <v>1809</v>
      </c>
      <c r="C187" s="59" t="s">
        <v>46</v>
      </c>
      <c r="D187" s="737">
        <f t="shared" si="7"/>
        <v>146.26246706420153</v>
      </c>
      <c r="E187" s="701">
        <v>2375108</v>
      </c>
      <c r="F187" s="709">
        <v>310761</v>
      </c>
      <c r="G187" s="709">
        <v>550827</v>
      </c>
      <c r="H187" s="709">
        <v>400505</v>
      </c>
      <c r="I187" s="764">
        <v>2289617</v>
      </c>
      <c r="J187" s="777"/>
      <c r="K187" s="63"/>
    </row>
    <row r="188" spans="2:11" ht="17.25">
      <c r="B188" s="1817" t="s">
        <v>1720</v>
      </c>
      <c r="C188" s="54" t="s">
        <v>46</v>
      </c>
      <c r="D188" s="737">
        <f t="shared" si="7"/>
        <v>148.87833030512658</v>
      </c>
      <c r="E188" s="729">
        <v>2906734</v>
      </c>
      <c r="F188" s="743">
        <v>270708</v>
      </c>
      <c r="G188" s="743">
        <v>590487</v>
      </c>
      <c r="H188" s="743">
        <v>422711</v>
      </c>
      <c r="I188" s="764">
        <v>1969628</v>
      </c>
      <c r="J188" s="777"/>
      <c r="K188" s="63"/>
    </row>
    <row r="189" spans="2:11" ht="17.25">
      <c r="B189" s="1808" t="s">
        <v>1725</v>
      </c>
      <c r="C189" s="59"/>
      <c r="D189" s="737">
        <f t="shared" si="7"/>
        <v>148.95982166211951</v>
      </c>
      <c r="E189" s="729">
        <v>2536906</v>
      </c>
      <c r="F189" s="743">
        <v>287511</v>
      </c>
      <c r="G189" s="743">
        <v>610686</v>
      </c>
      <c r="H189" s="743">
        <v>429514</v>
      </c>
      <c r="I189" s="765">
        <v>2120532</v>
      </c>
      <c r="J189" s="777"/>
      <c r="K189" s="63"/>
    </row>
    <row r="190" spans="2:11" ht="17.25">
      <c r="B190" s="1817" t="s">
        <v>1594</v>
      </c>
      <c r="C190" s="61"/>
      <c r="D190" s="737">
        <f t="shared" si="7"/>
        <v>150.76320390679351</v>
      </c>
      <c r="E190" s="700">
        <v>2200922</v>
      </c>
      <c r="F190" s="742">
        <v>369797</v>
      </c>
      <c r="G190" s="713">
        <v>575707</v>
      </c>
      <c r="H190" s="713">
        <v>418119</v>
      </c>
      <c r="I190" s="764">
        <v>2180364</v>
      </c>
      <c r="J190" s="777"/>
      <c r="K190" s="63"/>
    </row>
    <row r="191" spans="2:11" ht="17.25">
      <c r="B191" s="1822" t="s">
        <v>1751</v>
      </c>
      <c r="C191" s="59" t="s">
        <v>46</v>
      </c>
      <c r="D191" s="737">
        <f t="shared" si="7"/>
        <v>153.82949480427749</v>
      </c>
      <c r="E191" s="729">
        <v>2570806</v>
      </c>
      <c r="F191" s="743">
        <v>317175</v>
      </c>
      <c r="G191" s="743">
        <v>579155</v>
      </c>
      <c r="H191" s="743">
        <v>406417</v>
      </c>
      <c r="I191" s="764">
        <v>2478012</v>
      </c>
      <c r="J191" s="777"/>
      <c r="K191" s="63"/>
    </row>
    <row r="192" spans="2:11" ht="17.25">
      <c r="B192" s="800" t="s">
        <v>1717</v>
      </c>
      <c r="C192" s="146" t="s">
        <v>46</v>
      </c>
      <c r="D192" s="737">
        <f t="shared" si="7"/>
        <v>154.71843408341439</v>
      </c>
      <c r="E192" s="701">
        <v>3012209</v>
      </c>
      <c r="F192" s="709">
        <v>255862</v>
      </c>
      <c r="G192" s="709">
        <v>594414</v>
      </c>
      <c r="H192" s="709">
        <v>492453</v>
      </c>
      <c r="I192" s="764">
        <v>2076209</v>
      </c>
      <c r="J192" s="777"/>
      <c r="K192" s="63"/>
    </row>
    <row r="193" spans="2:11" ht="17.25">
      <c r="B193" s="628" t="s">
        <v>1890</v>
      </c>
      <c r="C193" s="755"/>
      <c r="D193" s="737">
        <f t="shared" si="7"/>
        <v>157.79525059099356</v>
      </c>
      <c r="E193" s="701">
        <v>2578698</v>
      </c>
      <c r="F193" s="709">
        <v>345293</v>
      </c>
      <c r="G193" s="709">
        <v>583506</v>
      </c>
      <c r="H193" s="709">
        <v>420904</v>
      </c>
      <c r="I193" s="764">
        <v>2473915</v>
      </c>
      <c r="J193" s="777"/>
      <c r="K193" s="63"/>
    </row>
    <row r="194" spans="2:11" ht="17.25">
      <c r="B194" s="1818" t="s">
        <v>1550</v>
      </c>
      <c r="C194" s="755"/>
      <c r="D194" s="737">
        <f t="shared" si="7"/>
        <v>158.65205665212201</v>
      </c>
      <c r="E194" s="701">
        <v>2791738</v>
      </c>
      <c r="F194" s="709">
        <v>358991</v>
      </c>
      <c r="G194" s="709">
        <v>531364</v>
      </c>
      <c r="H194" s="709">
        <v>390030</v>
      </c>
      <c r="I194" s="764">
        <v>2575004</v>
      </c>
      <c r="J194" s="777"/>
      <c r="K194" s="63"/>
    </row>
    <row r="195" spans="2:11" ht="17.25">
      <c r="B195" s="1807" t="s">
        <v>1719</v>
      </c>
      <c r="C195" s="142"/>
      <c r="D195" s="737">
        <f t="shared" si="7"/>
        <v>169.10676416355037</v>
      </c>
      <c r="E195" s="701">
        <v>3412748</v>
      </c>
      <c r="F195" s="709">
        <v>303589</v>
      </c>
      <c r="G195" s="709">
        <v>642291</v>
      </c>
      <c r="H195" s="709">
        <v>519155</v>
      </c>
      <c r="I195" s="764">
        <v>2079606</v>
      </c>
      <c r="J195" s="777"/>
      <c r="K195" s="63"/>
    </row>
    <row r="196" spans="2:11" ht="17.25">
      <c r="B196" s="800" t="s">
        <v>1703</v>
      </c>
      <c r="C196" s="142"/>
      <c r="D196" s="737">
        <f t="shared" si="7"/>
        <v>169.92507265502053</v>
      </c>
      <c r="E196" s="701">
        <v>2901544</v>
      </c>
      <c r="F196" s="709">
        <v>365547</v>
      </c>
      <c r="G196" s="709">
        <v>607473</v>
      </c>
      <c r="H196" s="709">
        <v>441256</v>
      </c>
      <c r="I196" s="764">
        <v>2725579</v>
      </c>
      <c r="J196" s="777"/>
      <c r="K196" s="63"/>
    </row>
    <row r="197" spans="2:11" ht="17.25">
      <c r="B197" s="751" t="s">
        <v>1507</v>
      </c>
      <c r="C197" s="59" t="s">
        <v>46</v>
      </c>
      <c r="D197" s="737">
        <f t="shared" si="7"/>
        <v>173.32765844708609</v>
      </c>
      <c r="E197" s="701">
        <v>2596540</v>
      </c>
      <c r="F197" s="709">
        <v>448631</v>
      </c>
      <c r="G197" s="709">
        <v>631959</v>
      </c>
      <c r="H197" s="709">
        <v>458412</v>
      </c>
      <c r="I197" s="764">
        <v>2486677</v>
      </c>
      <c r="J197" s="777"/>
      <c r="K197" s="63"/>
    </row>
    <row r="198" spans="2:11" ht="17.25">
      <c r="B198" s="1818" t="s">
        <v>1504</v>
      </c>
      <c r="C198" s="582" t="s">
        <v>46</v>
      </c>
      <c r="D198" s="737">
        <f t="shared" si="7"/>
        <v>176.49152914591198</v>
      </c>
      <c r="E198" s="701">
        <v>3030916</v>
      </c>
      <c r="F198" s="709">
        <v>389420</v>
      </c>
      <c r="G198" s="709">
        <v>604526</v>
      </c>
      <c r="H198" s="709">
        <v>457984</v>
      </c>
      <c r="I198" s="764">
        <v>2848488</v>
      </c>
      <c r="J198" s="777"/>
      <c r="K198" s="63"/>
    </row>
    <row r="199" spans="2:11" ht="17.25">
      <c r="B199" s="757" t="s">
        <v>1683</v>
      </c>
      <c r="C199" s="59" t="s">
        <v>46</v>
      </c>
      <c r="D199" s="737">
        <f t="shared" si="7"/>
        <v>199.9848285792464</v>
      </c>
      <c r="E199" s="701">
        <v>3987099</v>
      </c>
      <c r="F199" s="709">
        <v>409476</v>
      </c>
      <c r="G199" s="709">
        <v>593245</v>
      </c>
      <c r="H199" s="709">
        <v>505681</v>
      </c>
      <c r="I199" s="764">
        <v>3333799</v>
      </c>
      <c r="J199" s="777"/>
      <c r="K199" s="63"/>
    </row>
    <row r="200" spans="2:11" ht="17.25">
      <c r="B200" s="1817" t="s">
        <v>1559</v>
      </c>
      <c r="C200" s="59" t="s">
        <v>46</v>
      </c>
      <c r="D200" s="737">
        <f t="shared" si="7"/>
        <v>206.48293849801229</v>
      </c>
      <c r="E200" s="701">
        <v>3819132</v>
      </c>
      <c r="F200" s="709">
        <v>464149</v>
      </c>
      <c r="G200" s="709">
        <v>656985</v>
      </c>
      <c r="H200" s="709">
        <v>498971</v>
      </c>
      <c r="I200" s="764">
        <v>3363888</v>
      </c>
      <c r="J200" s="777"/>
      <c r="K200" s="63"/>
    </row>
    <row r="201" spans="2:11" ht="17.25">
      <c r="B201" s="1821" t="s">
        <v>1885</v>
      </c>
      <c r="C201" s="161"/>
      <c r="D201" s="737">
        <f t="shared" ref="D201:D216" si="8">SUM(E201/E$131,F201/F$131,G201/G$131,H201/H$131,I201/I$131)/5*100</f>
        <v>214.01867987722824</v>
      </c>
      <c r="E201" s="701">
        <v>3899179</v>
      </c>
      <c r="F201" s="709">
        <v>491016</v>
      </c>
      <c r="G201" s="709">
        <v>688705</v>
      </c>
      <c r="H201" s="709">
        <v>525320</v>
      </c>
      <c r="I201" s="765">
        <v>3401165</v>
      </c>
      <c r="J201" s="777"/>
      <c r="K201" s="63"/>
    </row>
    <row r="202" spans="2:11" ht="15.75" customHeight="1">
      <c r="B202" s="1818" t="s">
        <v>1728</v>
      </c>
      <c r="C202" s="60"/>
      <c r="D202" s="737">
        <f t="shared" si="8"/>
        <v>214.66442488369347</v>
      </c>
      <c r="E202" s="701">
        <v>3951722</v>
      </c>
      <c r="F202" s="709">
        <v>502377</v>
      </c>
      <c r="G202" s="709">
        <v>664516</v>
      </c>
      <c r="H202" s="709">
        <v>506801</v>
      </c>
      <c r="I202" s="765">
        <v>3497948</v>
      </c>
      <c r="J202" s="777"/>
      <c r="K202" s="63"/>
    </row>
    <row r="203" spans="2:11" ht="17.25">
      <c r="B203" s="752" t="s">
        <v>1889</v>
      </c>
      <c r="C203" s="748"/>
      <c r="D203" s="737">
        <f t="shared" si="8"/>
        <v>226.29472547592746</v>
      </c>
      <c r="E203" s="701">
        <v>4404370</v>
      </c>
      <c r="F203" s="709">
        <v>527127</v>
      </c>
      <c r="G203" s="709">
        <v>667525</v>
      </c>
      <c r="H203" s="709">
        <v>508358</v>
      </c>
      <c r="I203" s="764">
        <v>3716216</v>
      </c>
      <c r="J203" s="777"/>
      <c r="K203" s="63"/>
    </row>
    <row r="204" spans="2:11" ht="15.75" customHeight="1">
      <c r="B204" s="757" t="s">
        <v>1902</v>
      </c>
      <c r="C204" s="699"/>
      <c r="D204" s="737">
        <f t="shared" si="8"/>
        <v>248.31471036616742</v>
      </c>
      <c r="E204" s="701">
        <v>4718613</v>
      </c>
      <c r="F204" s="709">
        <v>564603</v>
      </c>
      <c r="G204" s="709">
        <v>775877</v>
      </c>
      <c r="H204" s="709">
        <v>568092</v>
      </c>
      <c r="I204" s="765">
        <v>4075967</v>
      </c>
      <c r="J204" s="777"/>
      <c r="K204" s="63"/>
    </row>
    <row r="205" spans="2:11" ht="17.25">
      <c r="B205" s="628" t="s">
        <v>1904</v>
      </c>
      <c r="C205" s="755"/>
      <c r="D205" s="737">
        <f t="shared" si="8"/>
        <v>252.22828628576326</v>
      </c>
      <c r="E205" s="701">
        <v>4767812</v>
      </c>
      <c r="F205" s="709">
        <v>378889</v>
      </c>
      <c r="G205" s="709">
        <v>1049830</v>
      </c>
      <c r="H205" s="709">
        <v>675448</v>
      </c>
      <c r="I205" s="764">
        <v>4111153</v>
      </c>
      <c r="J205" s="777"/>
      <c r="K205" s="63"/>
    </row>
    <row r="206" spans="2:11" ht="17.25">
      <c r="B206" s="1818" t="s">
        <v>1887</v>
      </c>
      <c r="C206" s="791"/>
      <c r="D206" s="737">
        <f t="shared" si="8"/>
        <v>268.86515235013974</v>
      </c>
      <c r="E206" s="701">
        <v>4787991</v>
      </c>
      <c r="F206" s="709">
        <v>608162</v>
      </c>
      <c r="G206" s="709">
        <v>909217</v>
      </c>
      <c r="H206" s="709">
        <v>672889</v>
      </c>
      <c r="I206" s="764">
        <v>4211580</v>
      </c>
      <c r="J206" s="777"/>
      <c r="K206" s="63"/>
    </row>
    <row r="207" spans="2:11" ht="17.25">
      <c r="B207" s="1822" t="s">
        <v>1883</v>
      </c>
      <c r="C207" s="59"/>
      <c r="D207" s="737">
        <f t="shared" si="8"/>
        <v>287.092911915483</v>
      </c>
      <c r="E207" s="701">
        <v>4974961</v>
      </c>
      <c r="F207" s="709">
        <v>687510</v>
      </c>
      <c r="G207" s="709">
        <v>951689</v>
      </c>
      <c r="H207" s="709">
        <v>721198</v>
      </c>
      <c r="I207" s="765">
        <v>4414336</v>
      </c>
      <c r="J207" s="777"/>
      <c r="K207" s="63"/>
    </row>
    <row r="208" spans="2:11" ht="17.25">
      <c r="B208" s="1819" t="s">
        <v>1897</v>
      </c>
      <c r="C208" s="61"/>
      <c r="D208" s="737">
        <f t="shared" si="8"/>
        <v>289.99900991346612</v>
      </c>
      <c r="E208" s="701">
        <v>5325868</v>
      </c>
      <c r="F208" s="709">
        <v>729258</v>
      </c>
      <c r="G208" s="709">
        <v>845962</v>
      </c>
      <c r="H208" s="709">
        <v>678858</v>
      </c>
      <c r="I208" s="764">
        <v>4590443</v>
      </c>
      <c r="J208" s="777"/>
      <c r="K208" s="63"/>
    </row>
    <row r="209" spans="2:11" ht="17.25">
      <c r="B209" s="1817" t="s">
        <v>1896</v>
      </c>
      <c r="C209" s="62"/>
      <c r="D209" s="737">
        <f t="shared" si="8"/>
        <v>290.54464420495458</v>
      </c>
      <c r="E209" s="701">
        <v>5333938</v>
      </c>
      <c r="F209" s="709">
        <v>730786</v>
      </c>
      <c r="G209" s="709">
        <v>846927</v>
      </c>
      <c r="H209" s="709">
        <v>680708</v>
      </c>
      <c r="I209" s="764">
        <v>4599774</v>
      </c>
      <c r="J209" s="777"/>
      <c r="K209" s="63"/>
    </row>
    <row r="210" spans="2:11" ht="17.25">
      <c r="B210" s="1817" t="s">
        <v>1898</v>
      </c>
      <c r="C210" s="62"/>
      <c r="D210" s="737">
        <f t="shared" si="8"/>
        <v>291.90902637276542</v>
      </c>
      <c r="E210" s="701">
        <v>5300576</v>
      </c>
      <c r="F210" s="709">
        <v>730913</v>
      </c>
      <c r="G210" s="709">
        <v>838340</v>
      </c>
      <c r="H210" s="709">
        <v>682557</v>
      </c>
      <c r="I210" s="764">
        <v>4767416</v>
      </c>
      <c r="J210" s="777"/>
      <c r="K210" s="63"/>
    </row>
    <row r="211" spans="2:11" ht="17.25">
      <c r="B211" s="1817" t="s">
        <v>1884</v>
      </c>
      <c r="C211" s="146" t="s">
        <v>46</v>
      </c>
      <c r="D211" s="737">
        <f t="shared" si="8"/>
        <v>295.40941294151719</v>
      </c>
      <c r="E211" s="701">
        <v>5483264</v>
      </c>
      <c r="F211" s="709">
        <v>748286</v>
      </c>
      <c r="G211" s="713">
        <v>841317</v>
      </c>
      <c r="H211" s="713">
        <v>679972</v>
      </c>
      <c r="I211" s="765">
        <v>4713305</v>
      </c>
      <c r="J211" s="777"/>
      <c r="K211" s="63"/>
    </row>
    <row r="212" spans="2:11" ht="17.25">
      <c r="B212" s="1599" t="s">
        <v>1905</v>
      </c>
      <c r="C212" s="1780"/>
      <c r="D212" s="737">
        <f t="shared" si="8"/>
        <v>331.96821774511193</v>
      </c>
      <c r="E212" s="1597">
        <v>5512704</v>
      </c>
      <c r="F212" s="1598">
        <v>1063424</v>
      </c>
      <c r="G212" s="1600">
        <v>1063424</v>
      </c>
      <c r="H212" s="1600">
        <v>686080</v>
      </c>
      <c r="I212" s="1841">
        <v>4148224</v>
      </c>
      <c r="J212" s="810"/>
      <c r="K212" s="63"/>
    </row>
    <row r="213" spans="2:11" ht="17.25">
      <c r="B213" s="756" t="s">
        <v>1888</v>
      </c>
      <c r="C213" s="748"/>
      <c r="D213" s="737">
        <f t="shared" si="8"/>
        <v>333.62691434152038</v>
      </c>
      <c r="E213" s="701">
        <v>5675075</v>
      </c>
      <c r="F213" s="709">
        <v>1048594</v>
      </c>
      <c r="G213" s="713">
        <v>871600</v>
      </c>
      <c r="H213" s="713">
        <v>710961</v>
      </c>
      <c r="I213" s="764">
        <v>4897091</v>
      </c>
      <c r="J213" s="777"/>
      <c r="K213" s="63"/>
    </row>
    <row r="214" spans="2:11" ht="17.25">
      <c r="B214" s="1817" t="s">
        <v>1893</v>
      </c>
      <c r="C214" s="61"/>
      <c r="D214" s="737">
        <f t="shared" si="8"/>
        <v>334.70130841089485</v>
      </c>
      <c r="E214" s="701">
        <v>5463065</v>
      </c>
      <c r="F214" s="709">
        <v>1048596</v>
      </c>
      <c r="G214" s="709">
        <v>1048596</v>
      </c>
      <c r="H214" s="709">
        <v>674518</v>
      </c>
      <c r="I214" s="764">
        <v>4646420</v>
      </c>
      <c r="J214" s="777"/>
      <c r="K214" s="63"/>
    </row>
    <row r="215" spans="2:11" ht="17.25">
      <c r="B215" s="1599" t="s">
        <v>1901</v>
      </c>
      <c r="C215" s="749"/>
      <c r="D215" s="737">
        <f t="shared" si="8"/>
        <v>335.12410488759758</v>
      </c>
      <c r="E215" s="701">
        <v>5470987</v>
      </c>
      <c r="F215" s="709">
        <v>1049830</v>
      </c>
      <c r="G215" s="713">
        <v>1049830</v>
      </c>
      <c r="H215" s="713">
        <v>675448</v>
      </c>
      <c r="I215" s="765">
        <v>4651910</v>
      </c>
      <c r="J215" s="777"/>
      <c r="K215" s="63"/>
    </row>
    <row r="216" spans="2:11" ht="17.25">
      <c r="B216" s="1797" t="s">
        <v>1900</v>
      </c>
      <c r="C216" s="699"/>
      <c r="D216" s="737">
        <f t="shared" si="8"/>
        <v>339.54256585229615</v>
      </c>
      <c r="E216" s="701">
        <v>6341324</v>
      </c>
      <c r="F216" s="709">
        <v>871594</v>
      </c>
      <c r="G216" s="713">
        <v>934004</v>
      </c>
      <c r="H216" s="713">
        <v>777450</v>
      </c>
      <c r="I216" s="765">
        <v>5444052</v>
      </c>
      <c r="J216" s="777"/>
      <c r="K216" s="63"/>
    </row>
    <row r="217" spans="2:11" ht="17.25">
      <c r="B217" s="831" t="s">
        <v>1909</v>
      </c>
      <c r="C217" s="749"/>
      <c r="D217" s="737"/>
      <c r="E217" s="704" t="s">
        <v>695</v>
      </c>
      <c r="F217" s="710" t="s">
        <v>695</v>
      </c>
      <c r="G217" s="823" t="s">
        <v>695</v>
      </c>
      <c r="H217" s="823" t="s">
        <v>695</v>
      </c>
      <c r="I217" s="766" t="s">
        <v>695</v>
      </c>
      <c r="J217" s="777"/>
      <c r="K217" s="63"/>
    </row>
    <row r="218" spans="2:11" ht="17.25">
      <c r="B218" s="1794" t="s">
        <v>1689</v>
      </c>
      <c r="C218" s="145"/>
      <c r="D218" s="737"/>
      <c r="E218" s="704" t="s">
        <v>848</v>
      </c>
      <c r="F218" s="709">
        <v>1049988</v>
      </c>
      <c r="G218" s="709">
        <v>720528</v>
      </c>
      <c r="H218" s="710" t="s">
        <v>848</v>
      </c>
      <c r="I218" s="793" t="s">
        <v>848</v>
      </c>
      <c r="J218" s="777"/>
      <c r="K218" s="63"/>
    </row>
    <row r="219" spans="2:11" ht="17.25">
      <c r="B219" s="800" t="s">
        <v>849</v>
      </c>
      <c r="C219" s="748"/>
      <c r="D219" s="737"/>
      <c r="E219" s="704" t="s">
        <v>695</v>
      </c>
      <c r="F219" s="710" t="s">
        <v>695</v>
      </c>
      <c r="G219" s="710" t="s">
        <v>695</v>
      </c>
      <c r="H219" s="710" t="s">
        <v>695</v>
      </c>
      <c r="I219" s="766" t="s">
        <v>695</v>
      </c>
      <c r="J219" s="777"/>
      <c r="K219" s="63"/>
    </row>
    <row r="220" spans="2:11" ht="17.25">
      <c r="B220" s="1795" t="s">
        <v>700</v>
      </c>
      <c r="C220" s="144" t="s">
        <v>46</v>
      </c>
      <c r="D220" s="737"/>
      <c r="E220" s="701">
        <v>2820529</v>
      </c>
      <c r="F220" s="709">
        <v>311158</v>
      </c>
      <c r="G220" s="709">
        <v>511721</v>
      </c>
      <c r="H220" s="709">
        <v>405694</v>
      </c>
      <c r="I220" s="793" t="s">
        <v>641</v>
      </c>
      <c r="J220" s="777"/>
      <c r="K220" s="63"/>
    </row>
    <row r="221" spans="2:11" ht="17.25">
      <c r="B221" s="751" t="s">
        <v>855</v>
      </c>
      <c r="C221" s="144" t="s">
        <v>46</v>
      </c>
      <c r="D221" s="737"/>
      <c r="E221" s="704" t="s">
        <v>695</v>
      </c>
      <c r="F221" s="710" t="s">
        <v>695</v>
      </c>
      <c r="G221" s="710" t="s">
        <v>695</v>
      </c>
      <c r="H221" s="710" t="s">
        <v>695</v>
      </c>
      <c r="I221" s="766" t="s">
        <v>695</v>
      </c>
      <c r="J221" s="777"/>
      <c r="K221" s="63"/>
    </row>
    <row r="222" spans="2:11" ht="17.25">
      <c r="B222" s="800" t="s">
        <v>1742</v>
      </c>
      <c r="C222" s="699" t="s">
        <v>46</v>
      </c>
      <c r="D222" s="737"/>
      <c r="E222" s="704" t="s">
        <v>695</v>
      </c>
      <c r="F222" s="710" t="s">
        <v>695</v>
      </c>
      <c r="G222" s="710" t="s">
        <v>695</v>
      </c>
      <c r="H222" s="710" t="s">
        <v>695</v>
      </c>
      <c r="I222" s="766" t="s">
        <v>695</v>
      </c>
      <c r="J222" s="777"/>
      <c r="K222" s="63"/>
    </row>
    <row r="223" spans="2:11" ht="15.75" customHeight="1">
      <c r="B223" s="751" t="s">
        <v>1714</v>
      </c>
      <c r="C223" s="748"/>
      <c r="D223" s="737"/>
      <c r="E223" s="704" t="s">
        <v>695</v>
      </c>
      <c r="F223" s="710" t="s">
        <v>695</v>
      </c>
      <c r="G223" s="710" t="s">
        <v>695</v>
      </c>
      <c r="H223" s="710" t="s">
        <v>695</v>
      </c>
      <c r="I223" s="766" t="s">
        <v>695</v>
      </c>
      <c r="J223" s="778"/>
      <c r="K223" s="779"/>
    </row>
    <row r="224" spans="2:11" ht="15.75" customHeight="1">
      <c r="B224" s="2983" t="s">
        <v>939</v>
      </c>
      <c r="C224" s="748"/>
      <c r="D224" s="737"/>
      <c r="E224" s="704" t="s">
        <v>695</v>
      </c>
      <c r="F224" s="710" t="s">
        <v>695</v>
      </c>
      <c r="G224" s="710" t="s">
        <v>695</v>
      </c>
      <c r="H224" s="710" t="s">
        <v>695</v>
      </c>
      <c r="I224" s="766" t="s">
        <v>695</v>
      </c>
      <c r="J224" s="778"/>
      <c r="K224" s="779"/>
    </row>
    <row r="225" spans="2:11" ht="15.75" customHeight="1">
      <c r="B225" s="800" t="s">
        <v>1684</v>
      </c>
      <c r="C225" s="145" t="s">
        <v>46</v>
      </c>
      <c r="D225" s="737"/>
      <c r="E225" s="704" t="s">
        <v>695</v>
      </c>
      <c r="F225" s="710" t="s">
        <v>695</v>
      </c>
      <c r="G225" s="710" t="s">
        <v>695</v>
      </c>
      <c r="H225" s="710" t="s">
        <v>695</v>
      </c>
      <c r="I225" s="766" t="s">
        <v>695</v>
      </c>
      <c r="J225" s="778"/>
      <c r="K225" s="779"/>
    </row>
    <row r="226" spans="2:11" ht="15.75" customHeight="1">
      <c r="B226" s="751" t="s">
        <v>696</v>
      </c>
      <c r="C226" s="654" t="s">
        <v>46</v>
      </c>
      <c r="D226" s="737"/>
      <c r="E226" s="704" t="s">
        <v>695</v>
      </c>
      <c r="F226" s="710" t="s">
        <v>695</v>
      </c>
      <c r="G226" s="710" t="s">
        <v>695</v>
      </c>
      <c r="H226" s="710" t="s">
        <v>695</v>
      </c>
      <c r="I226" s="766" t="s">
        <v>695</v>
      </c>
      <c r="J226" s="778"/>
      <c r="K226" s="779"/>
    </row>
    <row r="227" spans="2:11" ht="15.75" customHeight="1">
      <c r="B227" s="2982" t="s">
        <v>938</v>
      </c>
      <c r="C227" s="2979"/>
      <c r="D227" s="2980"/>
      <c r="E227" s="704" t="s">
        <v>695</v>
      </c>
      <c r="F227" s="710" t="s">
        <v>695</v>
      </c>
      <c r="G227" s="710" t="s">
        <v>695</v>
      </c>
      <c r="H227" s="710" t="s">
        <v>695</v>
      </c>
      <c r="I227" s="766" t="s">
        <v>695</v>
      </c>
      <c r="J227" s="2981"/>
      <c r="K227" s="779"/>
    </row>
    <row r="228" spans="2:11" ht="15.75" customHeight="1">
      <c r="B228" s="2978" t="s">
        <v>1678</v>
      </c>
      <c r="C228" s="2967"/>
      <c r="D228" s="2980"/>
      <c r="E228" s="704" t="s">
        <v>695</v>
      </c>
      <c r="F228" s="710" t="s">
        <v>695</v>
      </c>
      <c r="G228" s="710" t="s">
        <v>695</v>
      </c>
      <c r="H228" s="710" t="s">
        <v>695</v>
      </c>
      <c r="I228" s="766" t="s">
        <v>695</v>
      </c>
      <c r="J228" s="2981"/>
      <c r="K228" s="779"/>
    </row>
    <row r="229" spans="2:11" ht="15.75" customHeight="1">
      <c r="B229" s="2978" t="s">
        <v>1674</v>
      </c>
      <c r="C229" s="791"/>
      <c r="D229" s="798"/>
      <c r="E229" s="704" t="s">
        <v>695</v>
      </c>
      <c r="F229" s="710" t="s">
        <v>695</v>
      </c>
      <c r="G229" s="710" t="s">
        <v>695</v>
      </c>
      <c r="H229" s="710" t="s">
        <v>695</v>
      </c>
      <c r="I229" s="766" t="s">
        <v>695</v>
      </c>
      <c r="J229" s="778"/>
      <c r="K229" s="779"/>
    </row>
    <row r="230" spans="2:11" ht="15.75" customHeight="1">
      <c r="B230" s="800" t="s">
        <v>1505</v>
      </c>
      <c r="C230" s="654" t="s">
        <v>46</v>
      </c>
      <c r="D230" s="737"/>
      <c r="E230" s="704" t="s">
        <v>641</v>
      </c>
      <c r="F230" s="709">
        <v>279408</v>
      </c>
      <c r="G230" s="709">
        <v>508803</v>
      </c>
      <c r="H230" s="709">
        <v>401443</v>
      </c>
      <c r="I230" s="766" t="s">
        <v>641</v>
      </c>
      <c r="J230" s="778"/>
      <c r="K230" s="779"/>
    </row>
    <row r="231" spans="2:11" ht="15.75" customHeight="1">
      <c r="B231" s="1797" t="s">
        <v>898</v>
      </c>
      <c r="C231" s="791"/>
      <c r="D231" s="737"/>
      <c r="E231" s="704" t="s">
        <v>695</v>
      </c>
      <c r="F231" s="710" t="s">
        <v>695</v>
      </c>
      <c r="G231" s="710" t="s">
        <v>695</v>
      </c>
      <c r="H231" s="710" t="s">
        <v>695</v>
      </c>
      <c r="I231" s="766" t="s">
        <v>695</v>
      </c>
      <c r="J231" s="778"/>
      <c r="K231" s="779"/>
    </row>
    <row r="232" spans="2:11" ht="15.75" customHeight="1">
      <c r="B232" s="1820" t="s">
        <v>1724</v>
      </c>
      <c r="C232" s="59"/>
      <c r="D232" s="737"/>
      <c r="E232" s="704" t="s">
        <v>641</v>
      </c>
      <c r="F232" s="710" t="s">
        <v>641</v>
      </c>
      <c r="G232" s="710" t="s">
        <v>641</v>
      </c>
      <c r="H232" s="710" t="s">
        <v>641</v>
      </c>
      <c r="I232" s="766" t="s">
        <v>641</v>
      </c>
      <c r="J232" s="777"/>
      <c r="K232" s="63"/>
    </row>
    <row r="233" spans="2:11" ht="15.75" customHeight="1">
      <c r="B233" s="1817" t="s">
        <v>913</v>
      </c>
      <c r="C233" s="61"/>
      <c r="D233" s="737"/>
      <c r="E233" s="704" t="s">
        <v>695</v>
      </c>
      <c r="F233" s="710" t="s">
        <v>695</v>
      </c>
      <c r="G233" s="710" t="s">
        <v>695</v>
      </c>
      <c r="H233" s="710" t="s">
        <v>695</v>
      </c>
      <c r="I233" s="766" t="s">
        <v>695</v>
      </c>
      <c r="J233" s="780"/>
      <c r="K233" s="781"/>
    </row>
    <row r="234" spans="2:11" ht="15.75" customHeight="1">
      <c r="B234" s="2984" t="s">
        <v>1727</v>
      </c>
      <c r="C234" s="61"/>
      <c r="D234" s="737"/>
      <c r="E234" s="704" t="s">
        <v>1722</v>
      </c>
      <c r="F234" s="710" t="s">
        <v>1722</v>
      </c>
      <c r="G234" s="710" t="s">
        <v>1722</v>
      </c>
      <c r="H234" s="710" t="s">
        <v>1722</v>
      </c>
      <c r="I234" s="766" t="s">
        <v>1722</v>
      </c>
      <c r="J234" s="782"/>
      <c r="K234" s="58"/>
    </row>
    <row r="235" spans="2:11" ht="15.75" customHeight="1">
      <c r="B235" s="836" t="s">
        <v>1910</v>
      </c>
      <c r="C235" s="758"/>
      <c r="D235" s="812"/>
      <c r="E235" s="704" t="s">
        <v>695</v>
      </c>
      <c r="F235" s="710" t="s">
        <v>695</v>
      </c>
      <c r="G235" s="710" t="s">
        <v>695</v>
      </c>
      <c r="H235" s="710" t="s">
        <v>695</v>
      </c>
      <c r="I235" s="766" t="s">
        <v>695</v>
      </c>
      <c r="J235" s="782"/>
      <c r="K235" s="58"/>
    </row>
    <row r="236" spans="2:11" ht="17.25">
      <c r="B236" s="801" t="s">
        <v>1721</v>
      </c>
      <c r="C236" s="54"/>
      <c r="D236" s="754"/>
      <c r="E236" s="704" t="s">
        <v>1722</v>
      </c>
      <c r="F236" s="710" t="s">
        <v>1722</v>
      </c>
      <c r="G236" s="710" t="s">
        <v>1722</v>
      </c>
      <c r="H236" s="710" t="s">
        <v>1722</v>
      </c>
      <c r="I236" s="766" t="s">
        <v>1722</v>
      </c>
      <c r="J236" s="782"/>
      <c r="K236" s="58"/>
    </row>
    <row r="237" spans="2:11" ht="17.25">
      <c r="B237" s="627" t="s">
        <v>1644</v>
      </c>
      <c r="C237" s="612"/>
      <c r="D237" s="612"/>
      <c r="E237" s="57"/>
      <c r="F237" s="57"/>
      <c r="G237" s="57"/>
      <c r="H237" s="58"/>
      <c r="I237" s="58"/>
      <c r="J237" s="58"/>
      <c r="K237" s="58"/>
    </row>
    <row r="238" spans="2:11" ht="17.25">
      <c r="B238" s="627" t="s">
        <v>1645</v>
      </c>
      <c r="C238" s="612"/>
      <c r="D238" s="612"/>
      <c r="E238" s="57"/>
      <c r="F238" s="57"/>
      <c r="G238" s="57"/>
      <c r="H238" s="58"/>
      <c r="I238" s="58"/>
      <c r="J238" s="58"/>
      <c r="K238" s="58"/>
    </row>
    <row r="239" spans="2:11" ht="17.25">
      <c r="B239" s="64" t="s">
        <v>1740</v>
      </c>
      <c r="C239" s="612"/>
      <c r="D239" s="612"/>
      <c r="E239" s="57"/>
      <c r="F239" s="57"/>
      <c r="G239" s="57"/>
      <c r="H239" s="58"/>
      <c r="I239" s="58"/>
      <c r="J239" s="58"/>
      <c r="K239" s="58"/>
    </row>
    <row r="240" spans="2:11" ht="17.25">
      <c r="B240" s="64" t="s">
        <v>1739</v>
      </c>
      <c r="C240" s="612"/>
      <c r="D240" s="612"/>
      <c r="E240" s="57"/>
      <c r="F240" s="57"/>
      <c r="G240" s="57"/>
      <c r="H240" s="58"/>
      <c r="I240" s="58"/>
      <c r="J240" s="58"/>
      <c r="K240" s="58"/>
    </row>
    <row r="241" spans="2:2" ht="17.25">
      <c r="B241" s="64" t="s">
        <v>1707</v>
      </c>
    </row>
  </sheetData>
  <sortState ref="B105:K119">
    <sortCondition ref="B105:B119"/>
  </sortState>
  <mergeCells count="3">
    <mergeCell ref="B5:B6"/>
    <mergeCell ref="B127:B128"/>
    <mergeCell ref="C1:K3"/>
  </mergeCells>
  <conditionalFormatting sqref="H11:H108 H110:H119">
    <cfRule type="cellIs" dxfId="53" priority="3452" operator="equal">
      <formula>MIN(H$11:H$119)</formula>
    </cfRule>
    <cfRule type="cellIs" dxfId="52" priority="3453" operator="lessThan">
      <formula>MIN(H$11:H$119)*1.1</formula>
    </cfRule>
    <cfRule type="colorScale" priority="345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1:H108 H110:H119">
    <cfRule type="cellIs" dxfId="51" priority="3461" operator="equal">
      <formula>MIN(H$11:H$119)</formula>
    </cfRule>
    <cfRule type="colorScale" priority="3462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1:F108 F110:F119">
    <cfRule type="cellIs" dxfId="50" priority="3467" operator="equal">
      <formula>MIN(F$11:F$119)</formula>
    </cfRule>
    <cfRule type="cellIs" dxfId="49" priority="3468" operator="lessThan">
      <formula>MIN(F$11:F$119)*1.1</formula>
    </cfRule>
    <cfRule type="colorScale" priority="3469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1:E119">
    <cfRule type="cellIs" dxfId="48" priority="3476" operator="equal">
      <formula>MIN(E$11:E$119)</formula>
    </cfRule>
    <cfRule type="cellIs" dxfId="47" priority="3477" operator="lessThan">
      <formula>MIN(E$11:E$119)*1.1</formula>
    </cfRule>
    <cfRule type="colorScale" priority="3478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1:G108 G110:G119">
    <cfRule type="cellIs" dxfId="46" priority="3485" operator="equal">
      <formula>MIN(G$11:G$119)</formula>
    </cfRule>
    <cfRule type="colorScale" priority="3486">
      <colorScale>
        <cfvo type="min"/>
        <cfvo type="percentile" val="50"/>
        <cfvo type="max"/>
        <color rgb="FFFFFF99"/>
        <color rgb="FFFFCC99"/>
        <color rgb="FF99CCFF"/>
      </colorScale>
    </cfRule>
    <cfRule type="cellIs" dxfId="45" priority="3487" operator="lessThan">
      <formula>MIN(G$11:G$119)*1.1</formula>
    </cfRule>
  </conditionalFormatting>
  <conditionalFormatting sqref="I11:I108 I110:I119">
    <cfRule type="cellIs" dxfId="44" priority="3494" operator="equal">
      <formula>MIN(I$11:I$119)</formula>
    </cfRule>
    <cfRule type="cellIs" dxfId="43" priority="3495" operator="lessThan">
      <formula>MIN(I$11:I$119)*1.1</formula>
    </cfRule>
    <cfRule type="colorScale" priority="3496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J11:J108 J110:J119">
    <cfRule type="cellIs" dxfId="42" priority="3503" operator="equal">
      <formula>MIN(J$11:J$119)</formula>
    </cfRule>
    <cfRule type="cellIs" dxfId="41" priority="3504" operator="lessThan">
      <formula>MIN(J$11:J$119)*1.1</formula>
    </cfRule>
    <cfRule type="colorScale" priority="3505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K11:K108 K110:K119">
    <cfRule type="cellIs" dxfId="40" priority="3512" operator="equal">
      <formula>MIN(K$11:K$124)</formula>
    </cfRule>
    <cfRule type="colorScale" priority="351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D10:D119">
    <cfRule type="dataBar" priority="351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{FBAF1830-663E-4AE8-9529-F3FD6F513634}</x14:id>
        </ext>
      </extLst>
    </cfRule>
  </conditionalFormatting>
  <conditionalFormatting sqref="F109">
    <cfRule type="cellIs" dxfId="39" priority="31" operator="equal">
      <formula>MIN(F$11:F$119)</formula>
    </cfRule>
    <cfRule type="cellIs" dxfId="38" priority="32" operator="lessThan">
      <formula>MIN(F$11:F$119)*1.1</formula>
    </cfRule>
    <cfRule type="colorScale" priority="3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09">
    <cfRule type="cellIs" dxfId="37" priority="28" operator="equal">
      <formula>MIN(G$11:G$119)</formula>
    </cfRule>
    <cfRule type="cellIs" dxfId="36" priority="29" operator="lessThan">
      <formula>MIN(G$11:G$119)*1.1</formula>
    </cfRule>
    <cfRule type="colorScale" priority="30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109">
    <cfRule type="cellIs" dxfId="35" priority="25" operator="equal">
      <formula>MIN(H$11:H$119)</formula>
    </cfRule>
    <cfRule type="cellIs" dxfId="34" priority="26" operator="lessThan">
      <formula>MIN(H$11:H$119)*1.1</formula>
    </cfRule>
    <cfRule type="colorScale" priority="27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I109">
    <cfRule type="cellIs" dxfId="33" priority="22" operator="equal">
      <formula>MIN(I$11:I$119)</formula>
    </cfRule>
    <cfRule type="cellIs" dxfId="32" priority="23" operator="lessThan">
      <formula>MIN(I$11:I$119)*1.1</formula>
    </cfRule>
    <cfRule type="colorScale" priority="2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J109">
    <cfRule type="cellIs" dxfId="31" priority="19" operator="equal">
      <formula>MIN(J$11:J$119)</formula>
    </cfRule>
    <cfRule type="cellIs" dxfId="30" priority="20" operator="lessThan">
      <formula>MIN(J$11:J$119)*1.1</formula>
    </cfRule>
    <cfRule type="colorScale" priority="21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K109">
    <cfRule type="cellIs" dxfId="29" priority="16" operator="equal">
      <formula>MIN(K$11:K$119)</formula>
    </cfRule>
    <cfRule type="cellIs" dxfId="28" priority="17" operator="lessThan">
      <formula>MIN(K$11:K$119)*1.1</formula>
    </cfRule>
    <cfRule type="colorScale" priority="18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D132:D236">
    <cfRule type="dataBar" priority="436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{7864D16B-B775-41A7-8AB6-488D9D62E174}</x14:id>
        </ext>
      </extLst>
    </cfRule>
  </conditionalFormatting>
  <conditionalFormatting sqref="H133:H226 H229:H236">
    <cfRule type="cellIs" dxfId="27" priority="4368" operator="equal">
      <formula>MIN(H$133:H$236)</formula>
    </cfRule>
    <cfRule type="cellIs" dxfId="26" priority="4369" operator="lessThan">
      <formula>MIN(H$133:H$236)*1.1</formula>
    </cfRule>
    <cfRule type="colorScale" priority="4370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133:F226 F229:F236">
    <cfRule type="cellIs" dxfId="25" priority="4374" operator="equal">
      <formula>MIN(F$133:F$236)</formula>
    </cfRule>
    <cfRule type="cellIs" dxfId="24" priority="4375" operator="lessThan">
      <formula>MIN(F$133:F$236)*1.1</formula>
    </cfRule>
    <cfRule type="colorScale" priority="4376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133:E226 E229:E236">
    <cfRule type="cellIs" dxfId="23" priority="4380" operator="equal">
      <formula>MIN(E$133:E$236)</formula>
    </cfRule>
    <cfRule type="cellIs" dxfId="22" priority="4381" operator="lessThan">
      <formula>MIN(E$133:E$236)*1.1</formula>
    </cfRule>
    <cfRule type="colorScale" priority="4382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133:G226 G229:G236">
    <cfRule type="cellIs" dxfId="21" priority="4386" operator="equal">
      <formula>MIN(G$133:G$236)</formula>
    </cfRule>
    <cfRule type="colorScale" priority="4387">
      <colorScale>
        <cfvo type="min"/>
        <cfvo type="percentile" val="50"/>
        <cfvo type="max"/>
        <color rgb="FFFFFF99"/>
        <color rgb="FFFFCC99"/>
        <color rgb="FF99CCFF"/>
      </colorScale>
    </cfRule>
    <cfRule type="cellIs" dxfId="20" priority="4388" operator="lessThan">
      <formula>MIN(G$133:G$236)*1.1</formula>
    </cfRule>
  </conditionalFormatting>
  <conditionalFormatting sqref="I133:I226 I229:I236">
    <cfRule type="cellIs" dxfId="19" priority="4392" operator="equal">
      <formula>MIN(I$133:I$236)</formula>
    </cfRule>
    <cfRule type="cellIs" dxfId="18" priority="4393" operator="lessThan">
      <formula>MIN(I$133:I$236)*1.1</formula>
    </cfRule>
    <cfRule type="colorScale" priority="4394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J133:J236">
    <cfRule type="cellIs" dxfId="17" priority="4398" operator="equal">
      <formula>MIN(J$11:J$119)</formula>
    </cfRule>
    <cfRule type="cellIs" dxfId="16" priority="4399" operator="lessThan">
      <formula>MIN(J$11:J$119)*1.1</formula>
    </cfRule>
    <cfRule type="colorScale" priority="4400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K133:K236">
    <cfRule type="cellIs" dxfId="15" priority="4404" operator="equal">
      <formula>MIN(K$11:K$124)</formula>
    </cfRule>
    <cfRule type="colorScale" priority="4405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H227:H228">
    <cfRule type="cellIs" dxfId="14" priority="1" operator="equal">
      <formula>MIN(H$133:H$236)</formula>
    </cfRule>
    <cfRule type="cellIs" dxfId="13" priority="2" operator="lessThan">
      <formula>MIN(H$133:H$236)*1.1</formula>
    </cfRule>
    <cfRule type="colorScale" priority="3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F227:F228">
    <cfRule type="cellIs" dxfId="12" priority="4" operator="equal">
      <formula>MIN(F$133:F$236)</formula>
    </cfRule>
    <cfRule type="cellIs" dxfId="11" priority="5" operator="lessThan">
      <formula>MIN(F$133:F$236)*1.1</formula>
    </cfRule>
    <cfRule type="colorScale" priority="6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E227:E228">
    <cfRule type="cellIs" dxfId="10" priority="7" operator="equal">
      <formula>MIN(E$133:E$236)</formula>
    </cfRule>
    <cfRule type="cellIs" dxfId="9" priority="8" operator="lessThan">
      <formula>MIN(E$133:E$236)*1.1</formula>
    </cfRule>
    <cfRule type="colorScale" priority="9">
      <colorScale>
        <cfvo type="min"/>
        <cfvo type="percentile" val="50"/>
        <cfvo type="max"/>
        <color rgb="FFFFFF99"/>
        <color rgb="FFFFCC99"/>
        <color rgb="FF99CCFF"/>
      </colorScale>
    </cfRule>
  </conditionalFormatting>
  <conditionalFormatting sqref="G227:G228">
    <cfRule type="cellIs" dxfId="8" priority="10" operator="equal">
      <formula>MIN(G$133:G$236)</formula>
    </cfRule>
    <cfRule type="colorScale" priority="11">
      <colorScale>
        <cfvo type="min"/>
        <cfvo type="percentile" val="50"/>
        <cfvo type="max"/>
        <color rgb="FFFFFF99"/>
        <color rgb="FFFFCC99"/>
        <color rgb="FF99CCFF"/>
      </colorScale>
    </cfRule>
    <cfRule type="cellIs" dxfId="7" priority="12" operator="lessThan">
      <formula>MIN(G$133:G$236)*1.1</formula>
    </cfRule>
  </conditionalFormatting>
  <conditionalFormatting sqref="I227:I228">
    <cfRule type="cellIs" dxfId="6" priority="13" operator="equal">
      <formula>MIN(I$133:I$236)</formula>
    </cfRule>
    <cfRule type="cellIs" dxfId="5" priority="14" operator="lessThan">
      <formula>MIN(I$133:I$236)*1.1</formula>
    </cfRule>
    <cfRule type="colorScale" priority="15">
      <colorScale>
        <cfvo type="min"/>
        <cfvo type="percentile" val="50"/>
        <cfvo type="max"/>
        <color rgb="FFFFFF99"/>
        <color rgb="FFFFCC99"/>
        <color rgb="FF99CCFF"/>
      </colorScale>
    </cfRule>
  </conditionalFormatting>
  <hyperlinks>
    <hyperlink ref="E6" r:id="rId1"/>
    <hyperlink ref="J6" r:id="rId2"/>
    <hyperlink ref="K6" r:id="rId3"/>
    <hyperlink ref="K7" r:id="rId4"/>
    <hyperlink ref="J7" r:id="rId5"/>
    <hyperlink ref="E7" r:id="rId6"/>
    <hyperlink ref="F7" r:id="rId7"/>
    <hyperlink ref="F6" r:id="rId8"/>
    <hyperlink ref="H6" r:id="rId9"/>
    <hyperlink ref="H7" r:id="rId10"/>
    <hyperlink ref="G6" r:id="rId11"/>
    <hyperlink ref="G7" r:id="rId12"/>
    <hyperlink ref="B112" r:id="rId13" display=".RWZ RAWZOR (lossless) Sachin Garg 2010"/>
    <hyperlink ref="B14" r:id="rId14" display="STUFFIT 2010 v14.0.0.9 (2009) SITX"/>
    <hyperlink ref="B52" r:id="rId15"/>
    <hyperlink ref="B51" r:id="rId16" display="FreeARC 0.67 ultra (2012) Bulat Ziganshin"/>
    <hyperlink ref="B77" r:id="rId17"/>
    <hyperlink ref="B67" r:id="rId18"/>
    <hyperlink ref="B12" r:id="rId19" location="1350"/>
    <hyperlink ref="B38" r:id="rId20" display="UHARC v0.6b (PPM, 32MB dict., Multimedia ) U. Herklotz"/>
    <hyperlink ref="B42" r:id="rId21" display="WinAce v2.69 Final (4096 KB dict + Delta) Marcel Lemke"/>
    <hyperlink ref="B75" r:id="rId22" display="ZCM 0.60d -m7 -r -s (2012) N.F. Antonio"/>
    <hyperlink ref="B70" r:id="rId23" display="WinRar x64 v3.92 (4096 KB dictionary + Delta) Eugene Roshal"/>
    <hyperlink ref="B17" r:id="rId24"/>
    <hyperlink ref="B15" r:id="rId25"/>
    <hyperlink ref="B46" r:id="rId26" display=".PGF / libPGF 6.11.24 (2004-2011) (lossless) (input=bmp)"/>
    <hyperlink ref="B13" r:id="rId27" location="1532"/>
    <hyperlink ref="B43" r:id="rId28"/>
    <hyperlink ref="B18" r:id="rId29"/>
    <hyperlink ref="B24" r:id="rId30"/>
    <hyperlink ref="B19" r:id="rId31"/>
    <hyperlink ref="B21" r:id="rId32"/>
    <hyperlink ref="B36" r:id="rId33"/>
    <hyperlink ref="B41" r:id="rId34"/>
    <hyperlink ref="B28" r:id="rId35"/>
    <hyperlink ref="B31" r:id="rId36"/>
    <hyperlink ref="B30" r:id="rId37"/>
    <hyperlink ref="B34" r:id="rId38"/>
    <hyperlink ref="B40" r:id="rId39" display=".J2K JPEG2000 (Lossless)"/>
    <hyperlink ref="B79" r:id="rId40" display=".PNG (XnView 1.98.7)"/>
    <hyperlink ref="B81" r:id="rId41" display=".TIFF/deflate (lossless)"/>
    <hyperlink ref="B85" r:id="rId42" display=".TIFF/lzw + predictor (lossless)"/>
    <hyperlink ref="B98" r:id="rId43" display=".TGA TARGA (Compressed) (XnView 1.98.7)"/>
    <hyperlink ref="B101" r:id="rId44" display=".TIFF (uncompressed)"/>
    <hyperlink ref="B23" r:id="rId45"/>
    <hyperlink ref="B48" r:id="rId46"/>
    <hyperlink ref="B44" r:id="rId47"/>
    <hyperlink ref="B59" r:id="rId48"/>
    <hyperlink ref="B55" r:id="rId49"/>
    <hyperlink ref="B53" r:id="rId50" display=".APT v 1.0 (25.3.2004) (input=bmp)"/>
    <hyperlink ref="B56" r:id="rId51"/>
    <hyperlink ref="B57" r:id="rId52"/>
    <hyperlink ref="B64" r:id="rId53" display=".IZ ImageZero (23.03.2012) Chritoph Feck"/>
    <hyperlink ref="B61" r:id="rId54"/>
    <hyperlink ref="B60" r:id="rId55"/>
    <hyperlink ref="B66" r:id="rId56"/>
    <hyperlink ref="B84" r:id="rId57"/>
    <hyperlink ref="I6" r:id="rId58"/>
    <hyperlink ref="B80" r:id="rId59" display="BZIP2 1.0 (2008) -9 Julian Seward"/>
    <hyperlink ref="B89" r:id="rId60" display="GZIP 1.3.5 (-9) ('07) Jean-Loup Gailly &amp; Mark Adler"/>
    <hyperlink ref="B65" r:id="rId61"/>
    <hyperlink ref="B50" r:id="rId62" display="SBC Archiver v0.970 (2004) -m3 -b63 Sami J. Makinen"/>
    <hyperlink ref="B86" r:id="rId63"/>
    <hyperlink ref="B227" r:id="rId64" display=".RWZ RAWZOR (lossless) Sachin Garg 2010"/>
    <hyperlink ref="B138" r:id="rId65" display="STUFFIT 2010 v14.0.0.9 (2009) SITX"/>
    <hyperlink ref="B160" r:id="rId66"/>
    <hyperlink ref="B176" r:id="rId67" display="FreeARC 0.67 ultra (2012) Bulat Ziganshin"/>
    <hyperlink ref="B194" r:id="rId68"/>
    <hyperlink ref="B186" r:id="rId69"/>
    <hyperlink ref="B137" r:id="rId70" location="1350"/>
    <hyperlink ref="B174" r:id="rId71" display="UHARC v0.6b (PPM, 32MB dict., Multimedia ) U. Herklotz"/>
    <hyperlink ref="B162" r:id="rId72" display="WinAce v2.69 Final (4096 KB dict + Delta) Marcel Lemke"/>
    <hyperlink ref="B190" r:id="rId73" display="WinRar x64 v3.92 (4096 KB dictionary + Delta) Eugene Roshal"/>
    <hyperlink ref="B134" r:id="rId74" display=".BMF v2.0 (2009) -S Dmitry Shkarin (input=bmp)"/>
    <hyperlink ref="B233" r:id="rId75"/>
    <hyperlink ref="B136" r:id="rId76"/>
    <hyperlink ref="B140" r:id="rId77" location="1532"/>
    <hyperlink ref="B154" r:id="rId78"/>
    <hyperlink ref="B139" r:id="rId79"/>
    <hyperlink ref="B145" r:id="rId80"/>
    <hyperlink ref="B229" r:id="rId81"/>
    <hyperlink ref="B228" r:id="rId82"/>
    <hyperlink ref="B230" r:id="rId83"/>
    <hyperlink ref="B198" r:id="rId84"/>
    <hyperlink ref="B231" r:id="rId85"/>
    <hyperlink ref="B147" r:id="rId86" display=".JLS (jpegls.8bi, color transform B-=(R+G)/2, 21.11.2001, lossless)"/>
    <hyperlink ref="B156" r:id="rId87"/>
    <hyperlink ref="B152" r:id="rId88"/>
    <hyperlink ref="B157" r:id="rId89"/>
    <hyperlink ref="B155" r:id="rId90"/>
    <hyperlink ref="B182" r:id="rId91"/>
    <hyperlink ref="B196" r:id="rId92" display=".CPD (PhotoK 0.1.0.1, www.kandalu.net, 30.07.2009) lossless"/>
    <hyperlink ref="B171" r:id="rId93" display=".APT v 1.0 (25.3.2004) (input=bmp)"/>
    <hyperlink ref="B185" r:id="rId94" display=".JPG (JPEG 9; cjpeg -rgb1 -block 1 -arithmetic) 19.05.2012, lossless"/>
    <hyperlink ref="B172" r:id="rId95"/>
    <hyperlink ref="B222" r:id="rId96" display=".IZ ImageZero (23.03.2012) Chritoph Feck"/>
    <hyperlink ref="B148" r:id="rId97"/>
    <hyperlink ref="B149" r:id="rId98"/>
    <hyperlink ref="B175" r:id="rId99"/>
    <hyperlink ref="B225" r:id="rId100" display=".OpenEXR Format (PIZ Mode)"/>
    <hyperlink ref="B219" r:id="rId101"/>
    <hyperlink ref="B187" r:id="rId102" display="BZIP2 1.0 (2008) -9 Julian Seward"/>
    <hyperlink ref="B200" r:id="rId103" display="GZIP 1.3.5 (-9) ('07) Jean-Loup Gailly &amp; Mark Adler"/>
    <hyperlink ref="B166" r:id="rId104"/>
    <hyperlink ref="B181" r:id="rId105" display="SBC Archiver v0.970 (2004) -m3 -b63 Sami J. Makinen"/>
    <hyperlink ref="B178" r:id="rId106"/>
    <hyperlink ref="E128" r:id="rId107"/>
    <hyperlink ref="B133" r:id="rId108"/>
    <hyperlink ref="B144" r:id="rId109"/>
    <hyperlink ref="B159" r:id="rId110" display=".PWC (20.11.1999) Paul Ausbeck"/>
    <hyperlink ref="B110" r:id="rId111"/>
    <hyperlink ref="B115" r:id="rId112"/>
    <hyperlink ref="B111" r:id="rId113" display=".PWC (20.11.1999) Paul Ausbeck"/>
    <hyperlink ref="G128" r:id="rId114"/>
    <hyperlink ref="H128" r:id="rId115"/>
    <hyperlink ref="B216" r:id="rId116" display=".BMP Windows Bitmap (RLE compressed)"/>
    <hyperlink ref="B16" r:id="rId117" display=".BMF v2.0 (2009) -S Dmitry Shkarin (input=bmp)"/>
    <hyperlink ref="B179" r:id="rId118" display=".PNG (XnView 1.98.7)"/>
    <hyperlink ref="B169" r:id="rId119"/>
    <hyperlink ref="B170" r:id="rId120" display=".PNG (XnView 1.98.7)"/>
    <hyperlink ref="B146" r:id="rId121" display=".TVC NK (26.11.1999) Tomsk State University (input=bmp)"/>
    <hyperlink ref="B83" r:id="rId122" display=".OpenEXR Format (PIZ Mode)"/>
    <hyperlink ref="B22" r:id="rId123" display=".TVC NK (26.11.1999) Tomsk State University (input=bmp)"/>
    <hyperlink ref="B20" r:id="rId124" display=".BMF v2.0 (2009) -S Dmitry Shkarin (input=bmp)"/>
    <hyperlink ref="B195" r:id="rId125" display="ARHANGEL 1.40 -mm -mf (2000) George Lyapko"/>
    <hyperlink ref="B39" r:id="rId126" display="ARHANGEL 1.40 -mm -mf (2000) George Lyapko"/>
    <hyperlink ref="B49" r:id="rId127" display="Pyramid Workshop 0.01debug (cptpc.exe) (2000) Niels Fröhling"/>
    <hyperlink ref="B188" r:id="rId128" display="Pyramid Workshop 0.01debug (cptpc.exe) (2000) Niels Fröhling"/>
    <hyperlink ref="B29" r:id="rId129" display="WIC lossless image compressor"/>
    <hyperlink ref="B164" r:id="rId130" display=".PGF / libPGF 6.11.24 (2004-2011) (lossless) (input=bmp)"/>
    <hyperlink ref="B117" r:id="rId131"/>
    <hyperlink ref="B183" r:id="rId132"/>
    <hyperlink ref="B202" r:id="rId133"/>
    <hyperlink ref="B91" r:id="rId134"/>
    <hyperlink ref="B2" r:id="rId135"/>
    <hyperlink ref="B151" r:id="rId136" display=".J2K JPEG2000 (Lossless) Kakadu 7.1 (25.06.2012)"/>
    <hyperlink ref="B35" r:id="rId137" display=".J2K JPEG2000 (Lossless) Kakadu 7.1 (25.06.2012)"/>
    <hyperlink ref="B73" r:id="rId138"/>
    <hyperlink ref="B74" r:id="rId139" display=".PNG (XnView 1.98.7)"/>
    <hyperlink ref="B72" r:id="rId140" display=".PNG (XnView 1.98.7)"/>
    <hyperlink ref="B3" r:id="rId141"/>
    <hyperlink ref="B37" r:id="rId142"/>
    <hyperlink ref="B150" r:id="rId143"/>
    <hyperlink ref="B163" r:id="rId144" display="ZCM 0.60d -m7 -r -s (2012) N.F. Antonio"/>
    <hyperlink ref="F128" r:id="rId145"/>
    <hyperlink ref="I128" r:id="rId146"/>
    <hyperlink ref="B63" r:id="rId147" display="7-Zip x64 9.1.7 (0=delta:4 1=lzma:lp1:d96:fb273) Igor Pavlov"/>
    <hyperlink ref="B191" r:id="rId148" display="7-Zip x64 9.1.7 (0=delta:4 1=lzma:lp1:d96:fb273) Igor Pavlov"/>
    <hyperlink ref="B93" r:id="rId149"/>
    <hyperlink ref="B207" r:id="rId150"/>
    <hyperlink ref="B97" r:id="rId151"/>
    <hyperlink ref="B88" r:id="rId152" display=".PSP Paintshop Pro Image (Corel Corporation)"/>
    <hyperlink ref="B211" r:id="rId153"/>
    <hyperlink ref="B201" r:id="rId154" display=".PSP Paintshop Pro Image (Corel Corporation)"/>
    <hyperlink ref="B90" r:id="rId155"/>
    <hyperlink ref="B102" r:id="rId156" display=".TIFF/lzw + predictor (lossless)"/>
    <hyperlink ref="B208" r:id="rId157" display=".TIFF/lzw + predictor (lossless)"/>
    <hyperlink ref="B206" r:id="rId158"/>
    <hyperlink ref="B100" r:id="rId159" display=".BMP Windows Bitmap (RLE compressed)"/>
    <hyperlink ref="B203" r:id="rId160" display=".TIFF/deflate (lossless)"/>
    <hyperlink ref="B215" r:id="rId161" display=".TIFF (uncompressed)"/>
    <hyperlink ref="B213" r:id="rId162" display=".TGA TARGA (Compressed) (XnView 1.98.7)"/>
    <hyperlink ref="B205" r:id="rId163" display=".TIFF/lzw + predictor (lossless)"/>
    <hyperlink ref="B193" r:id="rId164" display=".PNG (XnView 1.98.7)"/>
    <hyperlink ref="B103" r:id="rId165" display=".SLI StudioLine Photo Classic 2 Plus"/>
    <hyperlink ref="B212" r:id="rId166" display=".SLI StudioLine Photo Classic 2 Plus"/>
    <hyperlink ref="B27" r:id="rId167"/>
    <hyperlink ref="B45" r:id="rId168"/>
    <hyperlink ref="B235" r:id="rId169"/>
    <hyperlink ref="B217" r:id="rId170"/>
  </hyperlinks>
  <pageMargins left="0.70866141732283472" right="0.70866141732283472" top="0.74803149606299213" bottom="0.74803149606299213" header="0.31496062992125984" footer="0.31496062992125984"/>
  <pageSetup paperSize="9" scale="65" fitToWidth="2" fitToHeight="2" orientation="portrait" r:id="rId171"/>
  <picture r:id="rId17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BAF1830-663E-4AE8-9529-F3FD6F51363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D10:D119</xm:sqref>
        </x14:conditionalFormatting>
        <x14:conditionalFormatting xmlns:xm="http://schemas.microsoft.com/office/excel/2006/main">
          <x14:cfRule type="dataBar" id="{7864D16B-B775-41A7-8AB6-488D9D62E174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D132:D236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R497"/>
  <sheetViews>
    <sheetView topLeftCell="B58" zoomScale="85" zoomScaleNormal="85" workbookViewId="0">
      <selection activeCell="P81" sqref="P81"/>
    </sheetView>
  </sheetViews>
  <sheetFormatPr baseColWidth="10" defaultColWidth="9.140625" defaultRowHeight="12.75"/>
  <cols>
    <col min="1" max="1" width="37.7109375" style="1" customWidth="1"/>
    <col min="2" max="2" width="2.7109375" style="1" customWidth="1"/>
    <col min="3" max="3" width="8.85546875" style="1" customWidth="1"/>
    <col min="4" max="4" width="14.7109375" style="1" customWidth="1"/>
    <col min="5" max="5" width="8.42578125" style="1" customWidth="1"/>
    <col min="6" max="6" width="2.7109375" style="1" customWidth="1"/>
    <col min="7" max="7" width="37.7109375" style="1" customWidth="1"/>
    <col min="8" max="8" width="2.7109375" style="1" customWidth="1"/>
    <col min="9" max="9" width="8.85546875" style="1" customWidth="1"/>
    <col min="10" max="10" width="14.7109375" style="1" customWidth="1"/>
    <col min="11" max="11" width="8.42578125" style="1" customWidth="1"/>
    <col min="12" max="12" width="2.7109375" style="1" customWidth="1"/>
    <col min="13" max="13" width="37.7109375" style="1" customWidth="1"/>
    <col min="14" max="14" width="2.7109375" style="1" customWidth="1"/>
    <col min="15" max="15" width="7.85546875" style="1" customWidth="1"/>
    <col min="16" max="16" width="14.7109375" style="1" customWidth="1"/>
    <col min="17" max="17" width="8.42578125" style="1" customWidth="1"/>
    <col min="18" max="16384" width="9.140625" style="1"/>
  </cols>
  <sheetData>
    <row r="1" spans="1:18" ht="18">
      <c r="A1" s="20">
        <f ca="1">NOW()</f>
        <v>41295.601211689813</v>
      </c>
      <c r="B1" s="65"/>
      <c r="C1" s="65"/>
      <c r="D1" s="66"/>
      <c r="E1" s="67"/>
      <c r="F1" s="53"/>
      <c r="G1" s="50"/>
      <c r="H1" s="51"/>
      <c r="I1" s="51"/>
      <c r="J1" s="49"/>
      <c r="K1" s="68"/>
      <c r="L1" s="50"/>
      <c r="M1" s="69"/>
      <c r="N1" s="70"/>
      <c r="O1" s="70"/>
      <c r="P1" s="71"/>
      <c r="Q1" s="72"/>
    </row>
    <row r="2" spans="1:18">
      <c r="A2" s="3161" t="s">
        <v>1623</v>
      </c>
      <c r="B2" s="3161"/>
      <c r="C2" s="3161"/>
      <c r="D2" s="3161"/>
      <c r="E2" s="3161"/>
      <c r="F2" s="3161"/>
      <c r="G2" s="3161"/>
      <c r="H2" s="3161"/>
      <c r="I2" s="3161"/>
      <c r="J2" s="3161"/>
      <c r="K2" s="3161"/>
      <c r="L2" s="3161"/>
      <c r="M2" s="3161"/>
      <c r="N2" s="3161"/>
      <c r="O2" s="3161"/>
      <c r="P2" s="3161"/>
      <c r="Q2" s="3161"/>
    </row>
    <row r="3" spans="1:18">
      <c r="A3" s="3161"/>
      <c r="B3" s="3161"/>
      <c r="C3" s="3161"/>
      <c r="D3" s="3161"/>
      <c r="E3" s="3161"/>
      <c r="F3" s="3161"/>
      <c r="G3" s="3161"/>
      <c r="H3" s="3161"/>
      <c r="I3" s="3161"/>
      <c r="J3" s="3161"/>
      <c r="K3" s="3161"/>
      <c r="L3" s="3161"/>
      <c r="M3" s="3161"/>
      <c r="N3" s="3161"/>
      <c r="O3" s="3161"/>
      <c r="P3" s="3161"/>
      <c r="Q3" s="3161"/>
    </row>
    <row r="4" spans="1:18">
      <c r="A4" s="3161"/>
      <c r="B4" s="3161"/>
      <c r="C4" s="3161"/>
      <c r="D4" s="3161"/>
      <c r="E4" s="3161"/>
      <c r="F4" s="3161"/>
      <c r="G4" s="3161"/>
      <c r="H4" s="3161"/>
      <c r="I4" s="3161"/>
      <c r="J4" s="3161"/>
      <c r="K4" s="3161"/>
      <c r="L4" s="3161"/>
      <c r="M4" s="3161"/>
      <c r="N4" s="3161"/>
      <c r="O4" s="3161"/>
      <c r="P4" s="3161"/>
      <c r="Q4" s="3161"/>
    </row>
    <row r="5" spans="1:18">
      <c r="A5" s="3161"/>
      <c r="B5" s="3161"/>
      <c r="C5" s="3161"/>
      <c r="D5" s="3161"/>
      <c r="E5" s="3161"/>
      <c r="F5" s="3161"/>
      <c r="G5" s="3161"/>
      <c r="H5" s="3161"/>
      <c r="I5" s="3161"/>
      <c r="J5" s="3161"/>
      <c r="K5" s="3161"/>
      <c r="L5" s="3161"/>
      <c r="M5" s="3161"/>
      <c r="N5" s="3161"/>
      <c r="O5" s="3161"/>
      <c r="P5" s="3161"/>
      <c r="Q5" s="3161"/>
    </row>
    <row r="6" spans="1:18">
      <c r="A6" s="3161"/>
      <c r="B6" s="3161"/>
      <c r="C6" s="3161"/>
      <c r="D6" s="3161"/>
      <c r="E6" s="3161"/>
      <c r="F6" s="3161"/>
      <c r="G6" s="3161"/>
      <c r="H6" s="3161"/>
      <c r="I6" s="3161"/>
      <c r="J6" s="3161"/>
      <c r="K6" s="3161"/>
      <c r="L6" s="3161"/>
      <c r="M6" s="3161"/>
      <c r="N6" s="3161"/>
      <c r="O6" s="3161"/>
      <c r="P6" s="3161"/>
      <c r="Q6" s="3161"/>
    </row>
    <row r="7" spans="1:18" ht="20.25">
      <c r="A7" s="73"/>
      <c r="B7" s="74"/>
      <c r="C7" s="74"/>
      <c r="D7" s="75"/>
      <c r="E7" s="76"/>
      <c r="F7" s="77"/>
      <c r="G7" s="78"/>
      <c r="H7" s="79"/>
      <c r="I7" s="79"/>
      <c r="J7" s="80"/>
      <c r="K7" s="81"/>
      <c r="L7" s="78"/>
      <c r="M7" s="82"/>
      <c r="N7" s="83"/>
      <c r="O7" s="83"/>
      <c r="P7" s="84"/>
      <c r="Q7" s="85"/>
    </row>
    <row r="8" spans="1:18" ht="20.25">
      <c r="A8" s="1545" t="s">
        <v>704</v>
      </c>
      <c r="B8" s="86"/>
      <c r="C8" s="86"/>
      <c r="D8" s="87"/>
      <c r="E8" s="88"/>
      <c r="F8" s="87"/>
      <c r="G8" s="89"/>
      <c r="H8" s="89"/>
      <c r="I8" s="89"/>
      <c r="J8" s="89"/>
      <c r="K8" s="89"/>
      <c r="L8" s="89"/>
      <c r="M8" s="89"/>
      <c r="N8" s="86"/>
      <c r="O8" s="86"/>
      <c r="P8" s="87"/>
      <c r="Q8" s="88"/>
    </row>
    <row r="9" spans="1:18" ht="21" thickBot="1">
      <c r="A9" s="90"/>
      <c r="B9" s="91"/>
      <c r="C9" s="91"/>
      <c r="D9" s="90"/>
      <c r="E9" s="92"/>
      <c r="F9" s="90"/>
      <c r="G9" s="93"/>
      <c r="H9" s="93"/>
      <c r="I9" s="93"/>
      <c r="J9" s="93"/>
      <c r="K9" s="93"/>
      <c r="L9" s="93"/>
      <c r="M9" s="93"/>
      <c r="N9" s="91"/>
      <c r="O9" s="91"/>
      <c r="P9" s="90"/>
      <c r="Q9" s="92"/>
    </row>
    <row r="10" spans="1:18" ht="21" thickTop="1">
      <c r="A10" s="1549"/>
      <c r="B10" s="1550"/>
      <c r="C10" s="1550"/>
      <c r="D10" s="1549"/>
      <c r="E10" s="1551"/>
      <c r="F10" s="1549"/>
      <c r="G10" s="89"/>
      <c r="H10" s="89"/>
      <c r="I10" s="89"/>
      <c r="J10" s="89"/>
      <c r="K10" s="89"/>
      <c r="L10" s="89"/>
      <c r="M10" s="89"/>
      <c r="N10" s="1550"/>
      <c r="O10" s="1550"/>
      <c r="P10" s="1549"/>
      <c r="Q10" s="1551"/>
    </row>
    <row r="11" spans="1:18" ht="15">
      <c r="A11" s="1041" t="s">
        <v>976</v>
      </c>
      <c r="B11" s="1042"/>
      <c r="C11" s="1042"/>
      <c r="D11" s="593"/>
      <c r="E11" s="1043"/>
      <c r="F11" s="593"/>
      <c r="G11" s="1044"/>
      <c r="H11" s="1045"/>
      <c r="I11" s="1044"/>
      <c r="J11" s="593"/>
      <c r="K11" s="1043"/>
      <c r="L11" s="593"/>
      <c r="M11" s="1033"/>
      <c r="N11" s="1033"/>
      <c r="O11" s="1033"/>
      <c r="P11" s="1033"/>
      <c r="Q11" s="1046"/>
      <c r="R11" s="1047"/>
    </row>
    <row r="12" spans="1:18" ht="15">
      <c r="A12" s="973" t="s">
        <v>975</v>
      </c>
      <c r="B12" s="1048"/>
      <c r="C12" s="1049"/>
      <c r="D12" s="3162" t="s">
        <v>705</v>
      </c>
      <c r="E12" s="3162"/>
      <c r="F12" s="593"/>
      <c r="G12" s="974" t="s">
        <v>711</v>
      </c>
      <c r="H12" s="1050"/>
      <c r="I12" s="1051"/>
      <c r="J12" s="3157" t="s">
        <v>710</v>
      </c>
      <c r="K12" s="3162"/>
      <c r="L12" s="593"/>
      <c r="M12" s="975" t="s">
        <v>706</v>
      </c>
      <c r="N12" s="1052"/>
      <c r="O12" s="1049"/>
      <c r="P12" s="3154" t="s">
        <v>707</v>
      </c>
      <c r="Q12" s="3154"/>
      <c r="R12" s="1047"/>
    </row>
    <row r="13" spans="1:18" ht="15">
      <c r="A13" s="1283" t="s">
        <v>1819</v>
      </c>
      <c r="B13" s="1053" t="s">
        <v>46</v>
      </c>
      <c r="C13" s="1054">
        <v>353.93</v>
      </c>
      <c r="D13" s="939">
        <v>9939825</v>
      </c>
      <c r="E13" s="1227">
        <f t="shared" ref="E13:E34" si="0">(D13*100/14384698)</f>
        <v>69.099990837485777</v>
      </c>
      <c r="F13" s="593"/>
      <c r="G13" s="977" t="s">
        <v>1805</v>
      </c>
      <c r="H13" s="1056"/>
      <c r="I13" s="1057">
        <v>34</v>
      </c>
      <c r="J13" s="1321">
        <v>5957025</v>
      </c>
      <c r="K13" s="1227">
        <f t="shared" ref="K13:K35" si="1">(J13*100/9121790)</f>
        <v>65.305438954415749</v>
      </c>
      <c r="L13" s="593"/>
      <c r="M13" s="977" t="s">
        <v>1805</v>
      </c>
      <c r="N13" s="1058"/>
      <c r="O13" s="1057">
        <v>19</v>
      </c>
      <c r="P13" s="1321">
        <v>6883057</v>
      </c>
      <c r="Q13" s="1231">
        <f t="shared" ref="Q13:Q35" si="2">(P13*100/9350522)</f>
        <v>73.611473241814736</v>
      </c>
      <c r="R13" s="1047"/>
    </row>
    <row r="14" spans="1:18" ht="15">
      <c r="A14" s="1284" t="s">
        <v>1242</v>
      </c>
      <c r="B14" s="957" t="s">
        <v>46</v>
      </c>
      <c r="C14" s="1060">
        <v>182.25</v>
      </c>
      <c r="D14" s="940">
        <v>9958791</v>
      </c>
      <c r="E14" s="1227">
        <f t="shared" si="0"/>
        <v>69.231839278099542</v>
      </c>
      <c r="F14" s="593"/>
      <c r="G14" s="1222" t="s">
        <v>1819</v>
      </c>
      <c r="H14" s="1078" t="s">
        <v>46</v>
      </c>
      <c r="I14" s="1061">
        <v>783.1</v>
      </c>
      <c r="J14" s="162">
        <v>7794256</v>
      </c>
      <c r="K14" s="1227">
        <f t="shared" si="1"/>
        <v>85.446562571600523</v>
      </c>
      <c r="L14" s="593"/>
      <c r="M14" s="1272" t="s">
        <v>917</v>
      </c>
      <c r="N14" s="1062"/>
      <c r="O14" s="1061">
        <v>18.3</v>
      </c>
      <c r="P14" s="943">
        <v>8825607</v>
      </c>
      <c r="Q14" s="1231">
        <f t="shared" si="2"/>
        <v>94.386249238277827</v>
      </c>
      <c r="R14" s="1047"/>
    </row>
    <row r="15" spans="1:18" ht="15">
      <c r="A15" s="1284" t="s">
        <v>1501</v>
      </c>
      <c r="B15" s="956"/>
      <c r="C15" s="1061">
        <v>26.359000000000002</v>
      </c>
      <c r="D15" s="943">
        <v>10408411</v>
      </c>
      <c r="E15" s="1227">
        <f t="shared" si="0"/>
        <v>72.357521861077657</v>
      </c>
      <c r="F15" s="593"/>
      <c r="G15" s="1262" t="s">
        <v>1242</v>
      </c>
      <c r="H15" s="957" t="s">
        <v>46</v>
      </c>
      <c r="I15" s="1061">
        <v>114.55</v>
      </c>
      <c r="J15" s="945">
        <v>7813969</v>
      </c>
      <c r="K15" s="1227">
        <f t="shared" si="1"/>
        <v>85.662671471279211</v>
      </c>
      <c r="L15" s="593"/>
      <c r="M15" s="1222" t="s">
        <v>1819</v>
      </c>
      <c r="N15" s="1078" t="s">
        <v>46</v>
      </c>
      <c r="O15" s="1061">
        <v>1125.75</v>
      </c>
      <c r="P15" s="943">
        <v>9164467</v>
      </c>
      <c r="Q15" s="1231">
        <f t="shared" si="2"/>
        <v>98.010218039164016</v>
      </c>
      <c r="R15" s="1047"/>
    </row>
    <row r="16" spans="1:18" ht="15">
      <c r="A16" s="1280" t="s">
        <v>1815</v>
      </c>
      <c r="B16" s="1063"/>
      <c r="C16" s="1061">
        <v>31.75</v>
      </c>
      <c r="D16" s="162">
        <v>12532312</v>
      </c>
      <c r="E16" s="1227">
        <f t="shared" si="0"/>
        <v>87.122524226785998</v>
      </c>
      <c r="F16" s="593"/>
      <c r="G16" s="1284" t="s">
        <v>1501</v>
      </c>
      <c r="H16" s="1064"/>
      <c r="I16" s="1061">
        <v>26.5</v>
      </c>
      <c r="J16" s="162">
        <v>7814900</v>
      </c>
      <c r="K16" s="1227">
        <f t="shared" si="1"/>
        <v>85.672877801396439</v>
      </c>
      <c r="L16" s="593"/>
      <c r="M16" s="1267" t="s">
        <v>1815</v>
      </c>
      <c r="N16" s="956"/>
      <c r="O16" s="1061">
        <v>15.89</v>
      </c>
      <c r="P16" s="162">
        <v>9164873</v>
      </c>
      <c r="Q16" s="1231">
        <f t="shared" si="2"/>
        <v>98.014560042744137</v>
      </c>
      <c r="R16" s="1047"/>
    </row>
    <row r="17" spans="1:18" ht="15">
      <c r="A17" s="1285" t="s">
        <v>917</v>
      </c>
      <c r="B17" s="1065"/>
      <c r="C17" s="1061">
        <v>30.2</v>
      </c>
      <c r="D17" s="162">
        <v>12574535</v>
      </c>
      <c r="E17" s="1227">
        <f t="shared" si="0"/>
        <v>87.416051417972071</v>
      </c>
      <c r="F17" s="593"/>
      <c r="G17" s="1282" t="s">
        <v>917</v>
      </c>
      <c r="H17" s="1066"/>
      <c r="I17" s="1060">
        <v>28</v>
      </c>
      <c r="J17" s="940">
        <v>7936048</v>
      </c>
      <c r="K17" s="1227">
        <f t="shared" si="1"/>
        <v>87.00099432238629</v>
      </c>
      <c r="L17" s="593"/>
      <c r="M17" s="1261" t="s">
        <v>1818</v>
      </c>
      <c r="N17" s="1067"/>
      <c r="O17" s="1068"/>
      <c r="P17" s="162">
        <v>9174933</v>
      </c>
      <c r="Q17" s="1231">
        <f t="shared" si="2"/>
        <v>98.122147619138275</v>
      </c>
      <c r="R17" s="1047"/>
    </row>
    <row r="18" spans="1:18" ht="15">
      <c r="A18" s="1284" t="s">
        <v>1806</v>
      </c>
      <c r="B18" s="963" t="s">
        <v>46</v>
      </c>
      <c r="C18" s="1061">
        <v>32.17</v>
      </c>
      <c r="D18" s="162">
        <v>12708414</v>
      </c>
      <c r="E18" s="1227">
        <f t="shared" si="0"/>
        <v>88.346755698312194</v>
      </c>
      <c r="F18" s="593"/>
      <c r="G18" s="1267" t="s">
        <v>1815</v>
      </c>
      <c r="H18" s="959"/>
      <c r="I18" s="1060">
        <v>15.72</v>
      </c>
      <c r="J18" s="162">
        <v>8348280</v>
      </c>
      <c r="K18" s="1227">
        <f t="shared" si="1"/>
        <v>91.520195049436566</v>
      </c>
      <c r="L18" s="593"/>
      <c r="M18" s="1262" t="s">
        <v>1242</v>
      </c>
      <c r="N18" s="957" t="s">
        <v>46</v>
      </c>
      <c r="O18" s="1061">
        <v>119.38</v>
      </c>
      <c r="P18" s="162">
        <v>9178076</v>
      </c>
      <c r="Q18" s="1231">
        <f t="shared" si="2"/>
        <v>98.155760715818857</v>
      </c>
      <c r="R18" s="1047"/>
    </row>
    <row r="19" spans="1:18" ht="15">
      <c r="A19" s="1286" t="s">
        <v>146</v>
      </c>
      <c r="B19" s="1069"/>
      <c r="C19" s="1070">
        <v>394.45</v>
      </c>
      <c r="D19" s="979">
        <v>12712262</v>
      </c>
      <c r="E19" s="1227">
        <f t="shared" si="0"/>
        <v>88.373506346813812</v>
      </c>
      <c r="F19" s="593"/>
      <c r="G19" s="1280" t="s">
        <v>146</v>
      </c>
      <c r="H19" s="959"/>
      <c r="I19" s="1071">
        <v>251.42</v>
      </c>
      <c r="J19" s="941">
        <v>8392774</v>
      </c>
      <c r="K19" s="1227">
        <f t="shared" si="1"/>
        <v>92.007972119507244</v>
      </c>
      <c r="L19" s="593"/>
      <c r="M19" s="1262" t="s">
        <v>1806</v>
      </c>
      <c r="N19" s="963" t="s">
        <v>46</v>
      </c>
      <c r="O19" s="1070">
        <v>17.2</v>
      </c>
      <c r="P19" s="979">
        <v>9186714</v>
      </c>
      <c r="Q19" s="1231">
        <f t="shared" si="2"/>
        <v>98.248140585092472</v>
      </c>
      <c r="R19" s="1047"/>
    </row>
    <row r="20" spans="1:18" ht="15">
      <c r="A20" s="1287" t="s">
        <v>1800</v>
      </c>
      <c r="B20" s="1072"/>
      <c r="C20" s="1060">
        <v>11.93</v>
      </c>
      <c r="D20" s="945">
        <v>12755907</v>
      </c>
      <c r="E20" s="1228">
        <f t="shared" si="0"/>
        <v>88.67691904272165</v>
      </c>
      <c r="F20" s="593"/>
      <c r="G20" s="1267" t="s">
        <v>1814</v>
      </c>
      <c r="H20" s="1074"/>
      <c r="I20" s="1060">
        <v>66</v>
      </c>
      <c r="J20" s="945">
        <v>8415450</v>
      </c>
      <c r="K20" s="1228">
        <f t="shared" si="1"/>
        <v>92.256563678839356</v>
      </c>
      <c r="L20" s="593"/>
      <c r="M20" s="1263" t="s">
        <v>1800</v>
      </c>
      <c r="N20" s="1072"/>
      <c r="O20" s="1060">
        <v>3.18</v>
      </c>
      <c r="P20" s="943">
        <v>9190353</v>
      </c>
      <c r="Q20" s="1232">
        <f t="shared" si="2"/>
        <v>98.287058198462077</v>
      </c>
      <c r="R20" s="1047"/>
    </row>
    <row r="21" spans="1:18" ht="15">
      <c r="A21" s="1280" t="s">
        <v>1814</v>
      </c>
      <c r="B21" s="1075"/>
      <c r="C21" s="1061">
        <v>133.28</v>
      </c>
      <c r="D21" s="162">
        <v>12757000</v>
      </c>
      <c r="E21" s="1227">
        <f t="shared" si="0"/>
        <v>88.684517394803834</v>
      </c>
      <c r="F21" s="593"/>
      <c r="G21" s="1262" t="s">
        <v>1806</v>
      </c>
      <c r="H21" s="963" t="s">
        <v>46</v>
      </c>
      <c r="I21" s="1060">
        <v>16.8</v>
      </c>
      <c r="J21" s="162">
        <v>8425964</v>
      </c>
      <c r="K21" s="1227">
        <f t="shared" si="1"/>
        <v>92.371826143772225</v>
      </c>
      <c r="L21" s="593"/>
      <c r="M21" s="1267" t="s">
        <v>1814</v>
      </c>
      <c r="N21" s="1066"/>
      <c r="O21" s="1060">
        <v>71.599999999999994</v>
      </c>
      <c r="P21" s="162">
        <v>9191900</v>
      </c>
      <c r="Q21" s="1231">
        <f t="shared" si="2"/>
        <v>98.303602729344945</v>
      </c>
      <c r="R21" s="1047"/>
    </row>
    <row r="22" spans="1:18" ht="15">
      <c r="A22" s="1288" t="s">
        <v>703</v>
      </c>
      <c r="B22" s="1075"/>
      <c r="C22" s="1061">
        <v>9</v>
      </c>
      <c r="D22" s="162">
        <v>12773126</v>
      </c>
      <c r="E22" s="1227">
        <f t="shared" si="0"/>
        <v>88.796622633301027</v>
      </c>
      <c r="F22" s="593"/>
      <c r="G22" s="1263" t="s">
        <v>1800</v>
      </c>
      <c r="H22" s="957"/>
      <c r="I22" s="1060">
        <v>6.21</v>
      </c>
      <c r="J22" s="940">
        <v>8447390</v>
      </c>
      <c r="K22" s="1227">
        <f t="shared" si="1"/>
        <v>92.60671425235617</v>
      </c>
      <c r="L22" s="593"/>
      <c r="M22" s="1280" t="s">
        <v>146</v>
      </c>
      <c r="N22" s="959"/>
      <c r="O22" s="1060">
        <v>284.02999999999997</v>
      </c>
      <c r="P22" s="162">
        <v>9192732</v>
      </c>
      <c r="Q22" s="1231">
        <f t="shared" si="2"/>
        <v>98.312500628307163</v>
      </c>
      <c r="R22" s="1047"/>
    </row>
    <row r="23" spans="1:18" ht="15">
      <c r="A23" s="1280" t="s">
        <v>1818</v>
      </c>
      <c r="B23" s="1067"/>
      <c r="C23" s="1070">
        <v>30.2</v>
      </c>
      <c r="D23" s="980">
        <v>12864424</v>
      </c>
      <c r="E23" s="1229">
        <f t="shared" si="0"/>
        <v>89.431310966695307</v>
      </c>
      <c r="F23" s="593"/>
      <c r="G23" s="1225" t="s">
        <v>703</v>
      </c>
      <c r="H23" s="1075"/>
      <c r="I23" s="1070">
        <v>13.3</v>
      </c>
      <c r="J23" s="944">
        <v>8460231</v>
      </c>
      <c r="K23" s="1229">
        <f t="shared" si="1"/>
        <v>92.747487061201809</v>
      </c>
      <c r="L23" s="593"/>
      <c r="M23" s="1225" t="s">
        <v>703</v>
      </c>
      <c r="N23" s="1076"/>
      <c r="O23" s="1070">
        <v>13.775</v>
      </c>
      <c r="P23" s="944">
        <v>9193782</v>
      </c>
      <c r="Q23" s="1233">
        <f t="shared" si="2"/>
        <v>98.323729947910934</v>
      </c>
      <c r="R23" s="1047"/>
    </row>
    <row r="24" spans="1:18" ht="15">
      <c r="A24" s="1289" t="s">
        <v>1566</v>
      </c>
      <c r="B24" s="1223"/>
      <c r="C24" s="1068">
        <v>13</v>
      </c>
      <c r="D24" s="986">
        <v>12865230</v>
      </c>
      <c r="E24" s="1227">
        <f t="shared" si="0"/>
        <v>89.436914143070638</v>
      </c>
      <c r="F24" s="593"/>
      <c r="G24" s="1261" t="s">
        <v>1849</v>
      </c>
      <c r="H24" s="957" t="s">
        <v>46</v>
      </c>
      <c r="I24" s="1061">
        <v>1</v>
      </c>
      <c r="J24" s="162">
        <v>8486701</v>
      </c>
      <c r="K24" s="1227">
        <f t="shared" si="1"/>
        <v>93.037671334244706</v>
      </c>
      <c r="L24" s="593"/>
      <c r="M24" s="1280" t="s">
        <v>1808</v>
      </c>
      <c r="N24" s="957" t="s">
        <v>46</v>
      </c>
      <c r="O24" s="1060">
        <v>4.91</v>
      </c>
      <c r="P24" s="162">
        <v>9204637</v>
      </c>
      <c r="Q24" s="1231">
        <f t="shared" si="2"/>
        <v>98.439819723433615</v>
      </c>
      <c r="R24" s="1047"/>
    </row>
    <row r="25" spans="1:18" ht="15">
      <c r="A25" s="1290" t="s">
        <v>1849</v>
      </c>
      <c r="B25" s="1224" t="s">
        <v>46</v>
      </c>
      <c r="C25" s="1061">
        <v>3</v>
      </c>
      <c r="D25" s="940">
        <v>12910767</v>
      </c>
      <c r="E25" s="1227">
        <f t="shared" si="0"/>
        <v>89.753479704613895</v>
      </c>
      <c r="F25" s="593"/>
      <c r="G25" s="1280" t="s">
        <v>1808</v>
      </c>
      <c r="H25" s="957" t="s">
        <v>46</v>
      </c>
      <c r="I25" s="1060">
        <v>9.1300000000000008</v>
      </c>
      <c r="J25" s="940">
        <v>8495515</v>
      </c>
      <c r="K25" s="1227">
        <f t="shared" si="1"/>
        <v>93.134297106160091</v>
      </c>
      <c r="L25" s="593"/>
      <c r="M25" s="1261" t="s">
        <v>1849</v>
      </c>
      <c r="N25" s="1077" t="s">
        <v>46</v>
      </c>
      <c r="O25" s="1061">
        <v>2</v>
      </c>
      <c r="P25" s="162">
        <v>9206162</v>
      </c>
      <c r="Q25" s="1231">
        <f t="shared" si="2"/>
        <v>98.456128973334316</v>
      </c>
      <c r="R25" s="1047"/>
    </row>
    <row r="26" spans="1:18" ht="15">
      <c r="A26" s="1286" t="s">
        <v>1808</v>
      </c>
      <c r="B26" s="957" t="s">
        <v>46</v>
      </c>
      <c r="C26" s="1060">
        <v>17.61</v>
      </c>
      <c r="D26" s="940">
        <v>12918722</v>
      </c>
      <c r="E26" s="1227">
        <f t="shared" si="0"/>
        <v>89.808781526035517</v>
      </c>
      <c r="F26" s="593"/>
      <c r="G26" s="1261" t="s">
        <v>1550</v>
      </c>
      <c r="H26" s="1084"/>
      <c r="I26" s="1060">
        <v>2</v>
      </c>
      <c r="J26" s="940">
        <v>8495769</v>
      </c>
      <c r="K26" s="1227">
        <f t="shared" si="1"/>
        <v>93.137081647352105</v>
      </c>
      <c r="L26" s="593"/>
      <c r="M26" s="1269" t="s">
        <v>1816</v>
      </c>
      <c r="N26" s="964" t="s">
        <v>46</v>
      </c>
      <c r="O26" s="1061">
        <v>1</v>
      </c>
      <c r="P26" s="162">
        <v>9250536</v>
      </c>
      <c r="Q26" s="1231">
        <f t="shared" si="2"/>
        <v>98.930690714379367</v>
      </c>
      <c r="R26" s="1047"/>
    </row>
    <row r="27" spans="1:18" ht="15">
      <c r="A27" s="1280" t="s">
        <v>1550</v>
      </c>
      <c r="B27" s="593"/>
      <c r="C27" s="1060">
        <v>2</v>
      </c>
      <c r="D27" s="940">
        <v>12924216</v>
      </c>
      <c r="E27" s="1227">
        <f t="shared" si="0"/>
        <v>89.846974889566681</v>
      </c>
      <c r="F27" s="593"/>
      <c r="G27" s="1261" t="s">
        <v>1818</v>
      </c>
      <c r="H27" s="1067"/>
      <c r="I27" s="1060"/>
      <c r="J27" s="940">
        <v>8497149</v>
      </c>
      <c r="K27" s="1227">
        <f t="shared" si="1"/>
        <v>93.152210256978066</v>
      </c>
      <c r="L27" s="593"/>
      <c r="M27" s="1281" t="s">
        <v>926</v>
      </c>
      <c r="N27" s="969" t="s">
        <v>46</v>
      </c>
      <c r="O27" s="1061">
        <v>3.2</v>
      </c>
      <c r="P27" s="162">
        <v>9255430</v>
      </c>
      <c r="Q27" s="1231">
        <f t="shared" si="2"/>
        <v>98.983030038322994</v>
      </c>
      <c r="R27" s="1047"/>
    </row>
    <row r="28" spans="1:18" ht="15">
      <c r="A28" s="1280" t="s">
        <v>1812</v>
      </c>
      <c r="B28" s="959"/>
      <c r="C28" s="1060">
        <v>2</v>
      </c>
      <c r="D28" s="940">
        <v>12937350</v>
      </c>
      <c r="E28" s="1227">
        <f t="shared" si="0"/>
        <v>89.938280247524133</v>
      </c>
      <c r="F28" s="593"/>
      <c r="G28" s="1261" t="s">
        <v>1812</v>
      </c>
      <c r="H28" s="959"/>
      <c r="I28" s="1060"/>
      <c r="J28" s="940">
        <v>8514623</v>
      </c>
      <c r="K28" s="1227">
        <f t="shared" si="1"/>
        <v>93.343773535676661</v>
      </c>
      <c r="L28" s="593"/>
      <c r="M28" s="1261" t="s">
        <v>1550</v>
      </c>
      <c r="N28" s="956"/>
      <c r="O28" s="1060">
        <v>1</v>
      </c>
      <c r="P28" s="162">
        <v>9266732</v>
      </c>
      <c r="Q28" s="1231">
        <f t="shared" si="2"/>
        <v>99.103900295619866</v>
      </c>
      <c r="R28" s="1047"/>
    </row>
    <row r="29" spans="1:18" ht="15">
      <c r="A29" s="1280" t="s">
        <v>1813</v>
      </c>
      <c r="B29" s="593"/>
      <c r="C29" s="1060">
        <v>7.73</v>
      </c>
      <c r="D29" s="940">
        <v>12948000</v>
      </c>
      <c r="E29" s="1227">
        <f t="shared" si="0"/>
        <v>90.012317255461326</v>
      </c>
      <c r="F29" s="593"/>
      <c r="G29" s="1226" t="s">
        <v>1817</v>
      </c>
      <c r="H29" s="959"/>
      <c r="I29" s="1060"/>
      <c r="J29" s="940">
        <v>8526345</v>
      </c>
      <c r="K29" s="1227">
        <f t="shared" si="1"/>
        <v>93.472279015412539</v>
      </c>
      <c r="L29" s="593"/>
      <c r="M29" s="1261" t="s">
        <v>1813</v>
      </c>
      <c r="N29" s="956"/>
      <c r="O29" s="1061"/>
      <c r="P29" s="162">
        <v>9276432</v>
      </c>
      <c r="Q29" s="1231">
        <f t="shared" si="2"/>
        <v>99.207637819578409</v>
      </c>
      <c r="R29" s="1047"/>
    </row>
    <row r="30" spans="1:18" ht="15">
      <c r="A30" s="1291" t="s">
        <v>1816</v>
      </c>
      <c r="B30" s="964" t="s">
        <v>46</v>
      </c>
      <c r="C30" s="1061">
        <v>4</v>
      </c>
      <c r="D30" s="940">
        <v>12953121</v>
      </c>
      <c r="E30" s="1227">
        <f t="shared" si="0"/>
        <v>90.04791758575675</v>
      </c>
      <c r="F30" s="593"/>
      <c r="G30" s="1269" t="s">
        <v>1816</v>
      </c>
      <c r="H30" s="964" t="s">
        <v>46</v>
      </c>
      <c r="I30" s="1079"/>
      <c r="J30" s="982">
        <v>8561950</v>
      </c>
      <c r="K30" s="1230">
        <f t="shared" si="1"/>
        <v>93.862608106522956</v>
      </c>
      <c r="L30" s="593"/>
      <c r="M30" s="1226" t="s">
        <v>1817</v>
      </c>
      <c r="N30" s="593"/>
      <c r="O30" s="1060"/>
      <c r="P30" s="162">
        <v>9314509</v>
      </c>
      <c r="Q30" s="1231">
        <f t="shared" si="2"/>
        <v>99.614855726771196</v>
      </c>
      <c r="R30" s="1047"/>
    </row>
    <row r="31" spans="1:18" ht="15">
      <c r="A31" s="1280" t="s">
        <v>1817</v>
      </c>
      <c r="B31" s="1135"/>
      <c r="C31" s="1060">
        <v>11</v>
      </c>
      <c r="D31" s="940">
        <v>12961025</v>
      </c>
      <c r="E31" s="1227">
        <f t="shared" si="0"/>
        <v>90.10286486376009</v>
      </c>
      <c r="F31" s="593"/>
      <c r="G31" s="1261" t="s">
        <v>1813</v>
      </c>
      <c r="H31" s="959"/>
      <c r="I31" s="1081"/>
      <c r="J31" s="162">
        <v>8564496</v>
      </c>
      <c r="K31" s="1227">
        <f t="shared" si="1"/>
        <v>93.890519295006797</v>
      </c>
      <c r="L31" s="593"/>
      <c r="M31" s="1284" t="s">
        <v>1501</v>
      </c>
      <c r="N31" s="959"/>
      <c r="O31" s="1060">
        <v>8.8000000000000007</v>
      </c>
      <c r="P31" s="162">
        <v>9333041</v>
      </c>
      <c r="Q31" s="1231">
        <f t="shared" si="2"/>
        <v>99.813047870482521</v>
      </c>
      <c r="R31" s="1047"/>
    </row>
    <row r="32" spans="1:18" ht="15">
      <c r="A32" s="1292" t="s">
        <v>926</v>
      </c>
      <c r="B32" s="969" t="s">
        <v>46</v>
      </c>
      <c r="C32" s="1060">
        <v>5.9</v>
      </c>
      <c r="D32" s="940">
        <v>12974706</v>
      </c>
      <c r="E32" s="1227">
        <f t="shared" si="0"/>
        <v>90.197972873674516</v>
      </c>
      <c r="F32" s="593"/>
      <c r="G32" s="1281" t="s">
        <v>926</v>
      </c>
      <c r="H32" s="969" t="s">
        <v>46</v>
      </c>
      <c r="I32" s="1061">
        <v>3.07</v>
      </c>
      <c r="J32" s="162">
        <v>8582954</v>
      </c>
      <c r="K32" s="1227">
        <f t="shared" si="1"/>
        <v>94.092869930134327</v>
      </c>
      <c r="L32" s="593"/>
      <c r="M32" s="1226" t="s">
        <v>1809</v>
      </c>
      <c r="N32" s="1077" t="s">
        <v>46</v>
      </c>
      <c r="O32" s="1060">
        <v>2.71</v>
      </c>
      <c r="P32" s="162">
        <v>9339599</v>
      </c>
      <c r="Q32" s="1231">
        <f t="shared" si="2"/>
        <v>99.883182992350584</v>
      </c>
      <c r="R32" s="1047"/>
    </row>
    <row r="33" spans="1:18" ht="15">
      <c r="A33" s="1280" t="s">
        <v>1809</v>
      </c>
      <c r="B33" s="957" t="s">
        <v>46</v>
      </c>
      <c r="C33" s="1061">
        <v>4.0999999999999996</v>
      </c>
      <c r="D33" s="162">
        <v>13098547</v>
      </c>
      <c r="E33" s="1227">
        <f t="shared" si="0"/>
        <v>91.058894667096936</v>
      </c>
      <c r="F33" s="593"/>
      <c r="G33" s="1222" t="s">
        <v>1809</v>
      </c>
      <c r="H33" s="957" t="s">
        <v>46</v>
      </c>
      <c r="I33" s="1060">
        <v>2.59</v>
      </c>
      <c r="J33" s="940">
        <v>8685498</v>
      </c>
      <c r="K33" s="1227">
        <f t="shared" si="1"/>
        <v>95.217035252949259</v>
      </c>
      <c r="L33" s="593"/>
      <c r="M33" s="984" t="s">
        <v>709</v>
      </c>
      <c r="N33" s="957"/>
      <c r="O33" s="1060"/>
      <c r="P33" s="162">
        <v>9348000</v>
      </c>
      <c r="Q33" s="1231">
        <f t="shared" si="2"/>
        <v>99.97302824377077</v>
      </c>
      <c r="R33" s="1047"/>
    </row>
    <row r="34" spans="1:18" ht="15">
      <c r="A34" s="1288" t="s">
        <v>746</v>
      </c>
      <c r="B34" s="1064"/>
      <c r="C34" s="1060"/>
      <c r="D34" s="940">
        <v>14384698</v>
      </c>
      <c r="E34" s="1227">
        <f t="shared" si="0"/>
        <v>100</v>
      </c>
      <c r="F34" s="593"/>
      <c r="G34" s="985" t="s">
        <v>709</v>
      </c>
      <c r="H34" s="1078"/>
      <c r="I34" s="1082"/>
      <c r="J34" s="162">
        <v>9099514</v>
      </c>
      <c r="K34" s="1227">
        <f t="shared" si="1"/>
        <v>99.755793544907306</v>
      </c>
      <c r="L34" s="593"/>
      <c r="M34" s="946" t="s">
        <v>746</v>
      </c>
      <c r="N34" s="1083"/>
      <c r="O34" s="1060"/>
      <c r="P34" s="162">
        <v>9350522</v>
      </c>
      <c r="Q34" s="1231">
        <f t="shared" si="2"/>
        <v>100</v>
      </c>
      <c r="R34" s="1047"/>
    </row>
    <row r="35" spans="1:18" ht="15">
      <c r="A35" s="1293" t="s">
        <v>709</v>
      </c>
      <c r="B35" s="956"/>
      <c r="C35" s="1061"/>
      <c r="D35" s="986" t="s">
        <v>694</v>
      </c>
      <c r="E35" s="1227"/>
      <c r="F35" s="593"/>
      <c r="G35" s="978" t="s">
        <v>746</v>
      </c>
      <c r="H35" s="1064"/>
      <c r="I35" s="1061"/>
      <c r="J35" s="162">
        <v>9121790</v>
      </c>
      <c r="K35" s="1227">
        <f t="shared" si="1"/>
        <v>100</v>
      </c>
      <c r="L35" s="593"/>
      <c r="M35" s="1261" t="s">
        <v>1812</v>
      </c>
      <c r="N35" s="1084"/>
      <c r="O35" s="1085"/>
      <c r="P35" s="162">
        <v>9359940</v>
      </c>
      <c r="Q35" s="1231">
        <f t="shared" si="2"/>
        <v>100.10072164955069</v>
      </c>
      <c r="R35" s="1047"/>
    </row>
    <row r="36" spans="1:18" ht="15">
      <c r="A36" s="987"/>
      <c r="B36" s="987"/>
      <c r="C36" s="987"/>
      <c r="D36" s="106"/>
      <c r="E36" s="1086"/>
      <c r="F36" s="593"/>
      <c r="G36" s="104"/>
      <c r="H36" s="104"/>
      <c r="I36" s="104"/>
      <c r="J36" s="988"/>
      <c r="K36" s="1086"/>
      <c r="L36" s="593"/>
      <c r="M36" s="593"/>
      <c r="N36" s="593"/>
      <c r="O36" s="593"/>
      <c r="P36" s="55"/>
      <c r="Q36" s="1087"/>
      <c r="R36" s="1047"/>
    </row>
    <row r="37" spans="1:18" ht="17.25">
      <c r="A37" s="987"/>
      <c r="B37" s="1355" t="s">
        <v>1821</v>
      </c>
      <c r="C37" s="987"/>
      <c r="D37" s="106"/>
      <c r="E37" s="1086"/>
      <c r="F37" s="593"/>
      <c r="G37" s="104"/>
      <c r="H37" s="104"/>
      <c r="I37" s="104"/>
      <c r="J37" s="988"/>
      <c r="K37" s="1086"/>
      <c r="L37" s="593"/>
      <c r="M37" s="593"/>
      <c r="N37" s="593"/>
      <c r="O37" s="593"/>
      <c r="P37" s="55"/>
      <c r="Q37" s="1087"/>
      <c r="R37" s="1047"/>
    </row>
    <row r="38" spans="1:18" ht="17.25">
      <c r="A38" s="1044"/>
      <c r="B38" s="627" t="s">
        <v>1645</v>
      </c>
      <c r="C38" s="1044"/>
      <c r="D38" s="1088"/>
      <c r="E38" s="1086"/>
      <c r="F38" s="593"/>
      <c r="G38" s="1356"/>
      <c r="H38" s="1356"/>
      <c r="I38" s="1356"/>
      <c r="J38" s="1356"/>
      <c r="K38" s="1356"/>
      <c r="L38" s="1356"/>
      <c r="M38" s="1356"/>
      <c r="N38" s="593"/>
      <c r="O38" s="593"/>
      <c r="P38" s="1089"/>
      <c r="Q38" s="1087"/>
      <c r="R38" s="1047"/>
    </row>
    <row r="39" spans="1:18" ht="17.25">
      <c r="A39" s="1044"/>
      <c r="B39" s="64" t="s">
        <v>1859</v>
      </c>
      <c r="C39" s="1044"/>
      <c r="D39" s="1088"/>
      <c r="E39" s="1086"/>
      <c r="F39" s="593"/>
      <c r="G39" s="989"/>
      <c r="H39" s="989"/>
      <c r="I39" s="989"/>
      <c r="J39" s="989"/>
      <c r="K39" s="989"/>
      <c r="L39" s="989"/>
      <c r="M39" s="989"/>
      <c r="N39" s="593"/>
      <c r="O39" s="593"/>
      <c r="P39" s="1089"/>
      <c r="Q39" s="1087"/>
      <c r="R39" s="1047"/>
    </row>
    <row r="40" spans="1:18" ht="15">
      <c r="A40" s="1044"/>
      <c r="B40" s="1044"/>
      <c r="C40" s="1044"/>
      <c r="D40" s="1088"/>
      <c r="E40" s="1086"/>
      <c r="F40" s="593"/>
      <c r="G40" s="989"/>
      <c r="H40" s="989"/>
      <c r="I40" s="989"/>
      <c r="J40" s="989"/>
      <c r="K40" s="989"/>
      <c r="L40" s="989"/>
      <c r="M40" s="989"/>
      <c r="N40" s="593"/>
      <c r="O40" s="593"/>
      <c r="P40" s="1089"/>
      <c r="Q40" s="1087"/>
      <c r="R40" s="1047"/>
    </row>
    <row r="41" spans="1:18" ht="15">
      <c r="A41" s="1044"/>
      <c r="B41" s="1044"/>
      <c r="C41" s="1044"/>
      <c r="D41" s="1088"/>
      <c r="E41" s="1086"/>
      <c r="F41" s="593"/>
      <c r="G41" s="989"/>
      <c r="H41" s="989"/>
      <c r="I41" s="989"/>
      <c r="J41" s="989"/>
      <c r="K41" s="989"/>
      <c r="L41" s="989"/>
      <c r="M41" s="989"/>
      <c r="N41" s="593"/>
      <c r="O41" s="593"/>
      <c r="P41" s="1089"/>
      <c r="Q41" s="1087"/>
      <c r="R41" s="1047"/>
    </row>
    <row r="42" spans="1:18" ht="20.25">
      <c r="A42" s="1545" t="s">
        <v>1852</v>
      </c>
      <c r="B42" s="1033"/>
      <c r="C42" s="1033"/>
      <c r="D42" s="1033"/>
      <c r="E42" s="1046"/>
      <c r="F42" s="1033"/>
      <c r="G42" s="989"/>
      <c r="H42" s="989"/>
      <c r="I42" s="989"/>
      <c r="J42" s="989"/>
      <c r="K42" s="989"/>
      <c r="L42" s="989"/>
      <c r="M42" s="989"/>
      <c r="N42" s="1033"/>
      <c r="O42" s="1033"/>
      <c r="P42" s="1033"/>
      <c r="Q42" s="1046"/>
      <c r="R42" s="1047"/>
    </row>
    <row r="43" spans="1:18" ht="15.75" thickBot="1">
      <c r="A43" s="1090"/>
      <c r="B43" s="1090"/>
      <c r="C43" s="1090"/>
      <c r="D43" s="1090"/>
      <c r="E43" s="1091"/>
      <c r="F43" s="1090"/>
      <c r="G43" s="990"/>
      <c r="H43" s="990"/>
      <c r="I43" s="990"/>
      <c r="J43" s="990"/>
      <c r="K43" s="990"/>
      <c r="L43" s="990"/>
      <c r="M43" s="990"/>
      <c r="N43" s="1090"/>
      <c r="O43" s="1090"/>
      <c r="P43" s="1090"/>
      <c r="Q43" s="1091"/>
      <c r="R43" s="1047"/>
    </row>
    <row r="44" spans="1:18" ht="15.75" thickTop="1">
      <c r="A44" s="1534"/>
      <c r="B44" s="1534"/>
      <c r="C44" s="1534"/>
      <c r="D44" s="1534"/>
      <c r="E44" s="1210"/>
      <c r="F44" s="1534"/>
      <c r="G44" s="989"/>
      <c r="H44" s="989"/>
      <c r="I44" s="989"/>
      <c r="J44" s="989"/>
      <c r="K44" s="989"/>
      <c r="L44" s="989"/>
      <c r="M44" s="989"/>
      <c r="N44" s="1534"/>
      <c r="O44" s="1534"/>
      <c r="P44" s="1534"/>
      <c r="Q44" s="1210"/>
      <c r="R44" s="1047"/>
    </row>
    <row r="45" spans="1:18" ht="15">
      <c r="A45" s="1372" t="s">
        <v>1853</v>
      </c>
      <c r="B45" s="1042"/>
      <c r="C45" s="1042"/>
      <c r="D45" s="593"/>
      <c r="E45" s="1043"/>
      <c r="F45" s="593"/>
      <c r="G45" s="1372" t="s">
        <v>1870</v>
      </c>
      <c r="H45" s="593"/>
      <c r="I45" s="593"/>
      <c r="J45" s="593"/>
      <c r="K45" s="1043"/>
      <c r="L45" s="593"/>
      <c r="M45" s="1372" t="s">
        <v>1854</v>
      </c>
      <c r="N45" s="593"/>
      <c r="O45" s="593"/>
      <c r="P45" s="593"/>
      <c r="Q45" s="1043"/>
      <c r="R45" s="1047"/>
    </row>
    <row r="46" spans="1:18" ht="15">
      <c r="A46" s="991" t="s">
        <v>1867</v>
      </c>
      <c r="B46" s="1048"/>
      <c r="C46" s="1092"/>
      <c r="D46" s="3150" t="s">
        <v>1872</v>
      </c>
      <c r="E46" s="3150"/>
      <c r="F46" s="593"/>
      <c r="G46" s="991" t="s">
        <v>1871</v>
      </c>
      <c r="H46" s="1093"/>
      <c r="I46" s="1093"/>
      <c r="J46" s="3158" t="s">
        <v>1868</v>
      </c>
      <c r="K46" s="3158"/>
      <c r="L46" s="593"/>
      <c r="M46" s="991" t="s">
        <v>1865</v>
      </c>
      <c r="N46" s="1093"/>
      <c r="O46" s="1093"/>
      <c r="P46" s="3150" t="s">
        <v>1873</v>
      </c>
      <c r="Q46" s="3150"/>
      <c r="R46" s="1047"/>
    </row>
    <row r="47" spans="1:18" ht="15">
      <c r="A47" s="1566" t="s">
        <v>1857</v>
      </c>
      <c r="B47" s="1191"/>
      <c r="C47" s="1061">
        <v>14</v>
      </c>
      <c r="D47" s="986">
        <v>14444450</v>
      </c>
      <c r="E47" s="1227">
        <f t="shared" ref="E47:E76" si="3">(D47*100/23460139)</f>
        <v>61.570180807539117</v>
      </c>
      <c r="F47" s="593"/>
      <c r="G47" s="1283" t="s">
        <v>1819</v>
      </c>
      <c r="H47" s="1515" t="s">
        <v>46</v>
      </c>
      <c r="I47" s="1097">
        <v>2848.39</v>
      </c>
      <c r="J47" s="1560">
        <v>10997834</v>
      </c>
      <c r="K47" s="1228">
        <f t="shared" ref="K47:K75" si="4">(J47*100/26146816)</f>
        <v>42.061847989445447</v>
      </c>
      <c r="L47" s="593"/>
      <c r="M47" s="1566" t="s">
        <v>1857</v>
      </c>
      <c r="N47" s="1191"/>
      <c r="O47" s="1571">
        <v>22</v>
      </c>
      <c r="P47" s="1326">
        <v>28348428</v>
      </c>
      <c r="Q47" s="1228">
        <f t="shared" ref="Q47:Q76" si="5">(P47*100/32894902)</f>
        <v>86.178788433539026</v>
      </c>
      <c r="R47" s="1047"/>
    </row>
    <row r="48" spans="1:18" ht="15">
      <c r="A48" s="1511" t="s">
        <v>1862</v>
      </c>
      <c r="B48" s="1078"/>
      <c r="C48" s="1061">
        <v>6</v>
      </c>
      <c r="D48" s="986">
        <v>17888484</v>
      </c>
      <c r="E48" s="1227">
        <f t="shared" si="3"/>
        <v>76.250545659597321</v>
      </c>
      <c r="F48" s="1033"/>
      <c r="G48" s="1412" t="s">
        <v>1242</v>
      </c>
      <c r="H48" s="1078" t="s">
        <v>46</v>
      </c>
      <c r="I48" s="1101">
        <v>370.97</v>
      </c>
      <c r="J48" s="945">
        <v>11687915</v>
      </c>
      <c r="K48" s="1228">
        <f t="shared" si="4"/>
        <v>44.701102421036659</v>
      </c>
      <c r="L48" s="1033"/>
      <c r="M48" s="1511" t="s">
        <v>1880</v>
      </c>
      <c r="N48" s="1078"/>
      <c r="O48" s="1101">
        <v>2</v>
      </c>
      <c r="P48" s="1002">
        <v>29758800</v>
      </c>
      <c r="Q48" s="1228">
        <f t="shared" si="5"/>
        <v>90.466297786812078</v>
      </c>
      <c r="R48" s="1047"/>
    </row>
    <row r="49" spans="1:18" ht="15">
      <c r="A49" s="1511" t="s">
        <v>1880</v>
      </c>
      <c r="B49" s="957"/>
      <c r="C49" s="1061">
        <v>2</v>
      </c>
      <c r="D49" s="986">
        <v>19094710</v>
      </c>
      <c r="E49" s="1227">
        <f t="shared" si="3"/>
        <v>81.392143499235019</v>
      </c>
      <c r="F49" s="1033"/>
      <c r="G49" s="1280" t="s">
        <v>1815</v>
      </c>
      <c r="H49" s="1069"/>
      <c r="I49" s="1101">
        <v>52.45</v>
      </c>
      <c r="J49" s="943">
        <v>12333758</v>
      </c>
      <c r="K49" s="1228">
        <f t="shared" si="4"/>
        <v>47.171166080030545</v>
      </c>
      <c r="L49" s="1033"/>
      <c r="M49" s="1283" t="s">
        <v>1864</v>
      </c>
      <c r="N49" s="1137"/>
      <c r="O49" s="1145">
        <v>10</v>
      </c>
      <c r="P49" s="1570">
        <v>30428170</v>
      </c>
      <c r="Q49" s="1228">
        <f t="shared" si="5"/>
        <v>92.501172370113764</v>
      </c>
      <c r="R49" s="1047"/>
    </row>
    <row r="50" spans="1:18" ht="15">
      <c r="A50" s="1527" t="s">
        <v>1861</v>
      </c>
      <c r="B50" s="1495"/>
      <c r="C50" s="1070">
        <v>4</v>
      </c>
      <c r="D50" s="1499">
        <v>19904600</v>
      </c>
      <c r="E50" s="1227">
        <f t="shared" si="3"/>
        <v>84.844339583836231</v>
      </c>
      <c r="F50" s="1033"/>
      <c r="G50" s="1554" t="s">
        <v>146</v>
      </c>
      <c r="H50" s="1513"/>
      <c r="I50" s="1106">
        <v>166.1</v>
      </c>
      <c r="J50" s="1496">
        <v>12431138</v>
      </c>
      <c r="K50" s="1228">
        <f t="shared" si="4"/>
        <v>47.543601484784993</v>
      </c>
      <c r="L50" s="1033"/>
      <c r="M50" s="1527" t="s">
        <v>1862</v>
      </c>
      <c r="N50" s="1495"/>
      <c r="O50" s="1106">
        <v>8</v>
      </c>
      <c r="P50" s="1499">
        <v>31888406</v>
      </c>
      <c r="Q50" s="1228">
        <f t="shared" si="5"/>
        <v>96.940267522304822</v>
      </c>
      <c r="R50" s="1047"/>
    </row>
    <row r="51" spans="1:18" ht="15">
      <c r="A51" s="1567" t="s">
        <v>1864</v>
      </c>
      <c r="B51" s="1568"/>
      <c r="C51" s="1159">
        <v>3</v>
      </c>
      <c r="D51" s="1569">
        <v>20346748</v>
      </c>
      <c r="E51" s="1227">
        <f t="shared" si="3"/>
        <v>86.729017249215786</v>
      </c>
      <c r="F51" s="1033"/>
      <c r="G51" s="1565" t="s">
        <v>1800</v>
      </c>
      <c r="H51" s="1500"/>
      <c r="I51" s="1106">
        <v>21.6</v>
      </c>
      <c r="J51" s="1496">
        <v>12490886</v>
      </c>
      <c r="K51" s="1228">
        <f t="shared" si="4"/>
        <v>47.772111143475364</v>
      </c>
      <c r="L51" s="1033"/>
      <c r="M51" s="1531" t="s">
        <v>1501</v>
      </c>
      <c r="N51" s="1510"/>
      <c r="O51" s="1106">
        <v>14.78</v>
      </c>
      <c r="P51" s="1497">
        <v>32228239</v>
      </c>
      <c r="Q51" s="1228">
        <f t="shared" si="5"/>
        <v>97.973354655380945</v>
      </c>
      <c r="R51" s="1047"/>
    </row>
    <row r="52" spans="1:18" ht="15">
      <c r="A52" s="1520" t="s">
        <v>1856</v>
      </c>
      <c r="B52" s="1495"/>
      <c r="C52" s="1070">
        <v>3</v>
      </c>
      <c r="D52" s="1499">
        <v>21575822</v>
      </c>
      <c r="E52" s="1227">
        <f t="shared" si="3"/>
        <v>91.968005816163327</v>
      </c>
      <c r="F52" s="1033"/>
      <c r="G52" s="1518" t="s">
        <v>1814</v>
      </c>
      <c r="H52" s="1500"/>
      <c r="I52" s="1106">
        <v>81.099999999999994</v>
      </c>
      <c r="J52" s="1496">
        <v>12663992</v>
      </c>
      <c r="K52" s="1228">
        <f t="shared" si="4"/>
        <v>48.434164985901148</v>
      </c>
      <c r="L52" s="1033"/>
      <c r="M52" s="1518" t="s">
        <v>1815</v>
      </c>
      <c r="N52" s="1513"/>
      <c r="O52" s="1106">
        <v>56.74</v>
      </c>
      <c r="P52" s="1497">
        <v>32526438</v>
      </c>
      <c r="Q52" s="1228">
        <f t="shared" si="5"/>
        <v>98.879875063923279</v>
      </c>
      <c r="R52" s="1047"/>
    </row>
    <row r="53" spans="1:18" ht="15">
      <c r="A53" s="1518" t="s">
        <v>1815</v>
      </c>
      <c r="B53" s="1513"/>
      <c r="C53" s="1070">
        <v>38.799999999999997</v>
      </c>
      <c r="D53" s="1496">
        <v>22124658</v>
      </c>
      <c r="E53" s="1227">
        <f t="shared" si="3"/>
        <v>94.307446345479875</v>
      </c>
      <c r="F53" s="1033"/>
      <c r="G53" s="1518" t="s">
        <v>1813</v>
      </c>
      <c r="H53" s="1540"/>
      <c r="I53" s="1106">
        <v>7.0579999999999998</v>
      </c>
      <c r="J53" s="1497">
        <v>12674048</v>
      </c>
      <c r="K53" s="1228">
        <f t="shared" si="4"/>
        <v>48.47262473564659</v>
      </c>
      <c r="L53" s="1033"/>
      <c r="M53" s="1530" t="s">
        <v>1242</v>
      </c>
      <c r="N53" s="1495" t="s">
        <v>46</v>
      </c>
      <c r="O53" s="1106">
        <v>507.15</v>
      </c>
      <c r="P53" s="1497">
        <v>32599956</v>
      </c>
      <c r="Q53" s="1228">
        <f t="shared" si="5"/>
        <v>99.103368661806627</v>
      </c>
      <c r="R53" s="1047"/>
    </row>
    <row r="54" spans="1:18" ht="15">
      <c r="A54" s="1522" t="s">
        <v>1819</v>
      </c>
      <c r="B54" s="1495" t="s">
        <v>46</v>
      </c>
      <c r="C54" s="1070">
        <v>2723.6</v>
      </c>
      <c r="D54" s="1496">
        <v>22147707</v>
      </c>
      <c r="E54" s="1227">
        <f t="shared" si="3"/>
        <v>94.405693845206969</v>
      </c>
      <c r="F54" s="1033"/>
      <c r="G54" s="1553" t="s">
        <v>703</v>
      </c>
      <c r="H54" s="1540"/>
      <c r="I54" s="1106">
        <v>14.75</v>
      </c>
      <c r="J54" s="1496">
        <v>12699243</v>
      </c>
      <c r="K54" s="1228">
        <f t="shared" si="4"/>
        <v>48.568984460670087</v>
      </c>
      <c r="L54" s="1033"/>
      <c r="M54" s="1519" t="s">
        <v>1819</v>
      </c>
      <c r="N54" s="1495" t="s">
        <v>46</v>
      </c>
      <c r="O54" s="1106">
        <v>3753.52</v>
      </c>
      <c r="P54" s="1497">
        <v>32650938</v>
      </c>
      <c r="Q54" s="1228">
        <f t="shared" si="5"/>
        <v>99.258353163660431</v>
      </c>
      <c r="R54" s="1047"/>
    </row>
    <row r="55" spans="1:18" ht="15">
      <c r="A55" s="1521" t="s">
        <v>1242</v>
      </c>
      <c r="B55" s="1495" t="s">
        <v>46</v>
      </c>
      <c r="C55" s="1070">
        <v>342.08</v>
      </c>
      <c r="D55" s="1496">
        <v>22156602</v>
      </c>
      <c r="E55" s="1227">
        <f t="shared" si="3"/>
        <v>94.443609221582193</v>
      </c>
      <c r="F55" s="1033"/>
      <c r="G55" s="1564" t="s">
        <v>1860</v>
      </c>
      <c r="H55" s="1514"/>
      <c r="I55" s="1106">
        <v>15.99</v>
      </c>
      <c r="J55" s="1496">
        <v>12748103</v>
      </c>
      <c r="K55" s="1228">
        <f t="shared" si="4"/>
        <v>48.755852337814289</v>
      </c>
      <c r="L55" s="1033"/>
      <c r="M55" s="1267" t="s">
        <v>146</v>
      </c>
      <c r="N55" s="1513"/>
      <c r="O55" s="1106">
        <v>943.2</v>
      </c>
      <c r="P55" s="1496">
        <v>32750525</v>
      </c>
      <c r="Q55" s="1228">
        <f t="shared" si="5"/>
        <v>99.561096123648582</v>
      </c>
      <c r="R55" s="1047"/>
    </row>
    <row r="56" spans="1:18" ht="15">
      <c r="A56" s="1521" t="s">
        <v>1501</v>
      </c>
      <c r="B56" s="1113"/>
      <c r="C56" s="1061">
        <v>11.1</v>
      </c>
      <c r="D56" s="943">
        <v>22289852</v>
      </c>
      <c r="E56" s="1227">
        <f t="shared" si="3"/>
        <v>95.011593921076084</v>
      </c>
      <c r="F56" s="1033"/>
      <c r="G56" s="1412" t="s">
        <v>1858</v>
      </c>
      <c r="H56" s="1072" t="s">
        <v>46</v>
      </c>
      <c r="I56" s="1101">
        <v>29.61</v>
      </c>
      <c r="J56" s="162">
        <v>12757328</v>
      </c>
      <c r="K56" s="1228">
        <f t="shared" si="4"/>
        <v>48.791133880316444</v>
      </c>
      <c r="L56" s="1033"/>
      <c r="M56" s="1280" t="s">
        <v>1813</v>
      </c>
      <c r="N56" s="1141"/>
      <c r="O56" s="1101">
        <v>15.468</v>
      </c>
      <c r="P56" s="940">
        <v>32766320</v>
      </c>
      <c r="Q56" s="1228">
        <f t="shared" si="5"/>
        <v>99.609112682567044</v>
      </c>
      <c r="R56" s="1047"/>
    </row>
    <row r="57" spans="1:18" ht="15">
      <c r="A57" s="1522" t="s">
        <v>146</v>
      </c>
      <c r="B57" s="1069"/>
      <c r="C57" s="1070">
        <v>627</v>
      </c>
      <c r="D57" s="944">
        <v>22292167</v>
      </c>
      <c r="E57" s="1227">
        <f t="shared" si="3"/>
        <v>95.021461722797127</v>
      </c>
      <c r="F57" s="1033"/>
      <c r="G57" s="1498" t="s">
        <v>1848</v>
      </c>
      <c r="H57" s="957" t="s">
        <v>46</v>
      </c>
      <c r="I57" s="1106">
        <v>5.625</v>
      </c>
      <c r="J57" s="944">
        <v>13103906</v>
      </c>
      <c r="K57" s="1228">
        <f t="shared" si="4"/>
        <v>50.116641353195739</v>
      </c>
      <c r="L57" s="1033"/>
      <c r="M57" s="1407" t="s">
        <v>1800</v>
      </c>
      <c r="N57" s="959"/>
      <c r="O57" s="1106">
        <v>10.3</v>
      </c>
      <c r="P57" s="980">
        <v>32767419</v>
      </c>
      <c r="Q57" s="1228">
        <f t="shared" si="5"/>
        <v>99.612453625792838</v>
      </c>
      <c r="R57" s="1047"/>
    </row>
    <row r="58" spans="1:18" ht="15">
      <c r="A58" s="1521" t="s">
        <v>1858</v>
      </c>
      <c r="B58" s="963" t="s">
        <v>46</v>
      </c>
      <c r="C58" s="1061">
        <v>32.07</v>
      </c>
      <c r="D58" s="943">
        <v>22394936</v>
      </c>
      <c r="E58" s="1227">
        <f t="shared" si="3"/>
        <v>95.459519655872455</v>
      </c>
      <c r="F58" s="1033"/>
      <c r="G58" s="1280" t="s">
        <v>1863</v>
      </c>
      <c r="H58" s="967"/>
      <c r="I58" s="1101">
        <v>967</v>
      </c>
      <c r="J58" s="944">
        <v>13480395</v>
      </c>
      <c r="K58" s="1228">
        <f t="shared" si="4"/>
        <v>51.556545164045978</v>
      </c>
      <c r="L58" s="1033"/>
      <c r="M58" s="1280" t="s">
        <v>1814</v>
      </c>
      <c r="N58" s="1066"/>
      <c r="O58" s="1101">
        <v>278.3</v>
      </c>
      <c r="P58" s="945">
        <v>32767493</v>
      </c>
      <c r="Q58" s="1228">
        <f t="shared" si="5"/>
        <v>99.612678584663357</v>
      </c>
      <c r="R58" s="1047"/>
    </row>
    <row r="59" spans="1:18" ht="15">
      <c r="A59" s="1523" t="s">
        <v>1814</v>
      </c>
      <c r="B59" s="959"/>
      <c r="C59" s="1070">
        <v>194.7</v>
      </c>
      <c r="D59" s="979">
        <v>22398564</v>
      </c>
      <c r="E59" s="1227">
        <f t="shared" si="3"/>
        <v>95.47498418487632</v>
      </c>
      <c r="F59" s="1033"/>
      <c r="G59" s="1566" t="s">
        <v>1857</v>
      </c>
      <c r="H59" s="957"/>
      <c r="I59" s="1106">
        <v>14</v>
      </c>
      <c r="J59" s="1576">
        <v>13808262</v>
      </c>
      <c r="K59" s="1228">
        <f t="shared" si="4"/>
        <v>52.810491342425784</v>
      </c>
      <c r="L59" s="1033"/>
      <c r="M59" s="1412" t="s">
        <v>917</v>
      </c>
      <c r="N59" s="1069"/>
      <c r="O59" s="1106">
        <v>38</v>
      </c>
      <c r="P59" s="979">
        <v>32771313</v>
      </c>
      <c r="Q59" s="1228">
        <f t="shared" si="5"/>
        <v>99.624291326358104</v>
      </c>
      <c r="R59" s="1047"/>
    </row>
    <row r="60" spans="1:18" ht="15">
      <c r="A60" s="1522" t="s">
        <v>1818</v>
      </c>
      <c r="B60" s="1538"/>
      <c r="C60" s="1070">
        <v>45.8</v>
      </c>
      <c r="D60" s="1496">
        <v>22422475</v>
      </c>
      <c r="E60" s="1227">
        <f t="shared" si="3"/>
        <v>95.576906002134095</v>
      </c>
      <c r="F60" s="1033"/>
      <c r="G60" s="1522" t="s">
        <v>1818</v>
      </c>
      <c r="H60" s="1538"/>
      <c r="I60" s="1106">
        <v>40.5</v>
      </c>
      <c r="J60" s="980">
        <v>14032210</v>
      </c>
      <c r="K60" s="1228">
        <f t="shared" si="4"/>
        <v>53.666993334867236</v>
      </c>
      <c r="L60" s="1033"/>
      <c r="M60" s="1539" t="s">
        <v>703</v>
      </c>
      <c r="N60" s="1540"/>
      <c r="O60" s="1106">
        <v>18.96</v>
      </c>
      <c r="P60" s="1496">
        <v>32777050</v>
      </c>
      <c r="Q60" s="1228">
        <f t="shared" si="5"/>
        <v>99.64173171879338</v>
      </c>
      <c r="R60" s="1047"/>
    </row>
    <row r="61" spans="1:18" ht="15">
      <c r="A61" s="1528" t="s">
        <v>703</v>
      </c>
      <c r="B61" s="956"/>
      <c r="C61" s="1061">
        <v>13.28</v>
      </c>
      <c r="D61" s="162">
        <v>22425108</v>
      </c>
      <c r="E61" s="1227">
        <f t="shared" si="3"/>
        <v>95.588129294545098</v>
      </c>
      <c r="F61" s="1033"/>
      <c r="G61" s="1412" t="s">
        <v>1501</v>
      </c>
      <c r="H61" s="1064"/>
      <c r="I61" s="1101">
        <v>7.8</v>
      </c>
      <c r="J61" s="980">
        <v>14300463</v>
      </c>
      <c r="K61" s="1228">
        <f t="shared" si="4"/>
        <v>54.692942345255346</v>
      </c>
      <c r="L61" s="1033"/>
      <c r="M61" s="1280" t="s">
        <v>1818</v>
      </c>
      <c r="N61" s="1067"/>
      <c r="O61" s="1101">
        <v>65.400000000000006</v>
      </c>
      <c r="P61" s="945">
        <v>32804326</v>
      </c>
      <c r="Q61" s="1228">
        <f t="shared" si="5"/>
        <v>99.724650342475556</v>
      </c>
      <c r="R61" s="1047"/>
    </row>
    <row r="62" spans="1:18" ht="15">
      <c r="A62" s="1535" t="s">
        <v>1800</v>
      </c>
      <c r="B62" s="1074"/>
      <c r="C62" s="1061">
        <v>5.6</v>
      </c>
      <c r="D62" s="943">
        <v>22440948</v>
      </c>
      <c r="E62" s="1227">
        <f t="shared" si="3"/>
        <v>95.655648076083438</v>
      </c>
      <c r="F62" s="1033"/>
      <c r="G62" s="1280" t="s">
        <v>1809</v>
      </c>
      <c r="H62" s="1072" t="s">
        <v>46</v>
      </c>
      <c r="I62" s="1101">
        <v>5</v>
      </c>
      <c r="J62" s="943">
        <v>14419069</v>
      </c>
      <c r="K62" s="1228">
        <f t="shared" si="4"/>
        <v>55.146557806503097</v>
      </c>
      <c r="L62" s="1033"/>
      <c r="M62" s="1280" t="s">
        <v>1863</v>
      </c>
      <c r="N62" s="1104"/>
      <c r="O62" s="1101">
        <v>693</v>
      </c>
      <c r="P62" s="943">
        <v>32853571</v>
      </c>
      <c r="Q62" s="1228">
        <f t="shared" si="5"/>
        <v>99.874354390841475</v>
      </c>
      <c r="R62" s="1047"/>
    </row>
    <row r="63" spans="1:18" ht="15">
      <c r="A63" s="1536" t="s">
        <v>917</v>
      </c>
      <c r="B63" s="1069"/>
      <c r="C63" s="1061">
        <v>21</v>
      </c>
      <c r="D63" s="162">
        <v>22442060</v>
      </c>
      <c r="E63" s="1227">
        <f t="shared" si="3"/>
        <v>95.660388030949008</v>
      </c>
      <c r="F63" s="1033"/>
      <c r="G63" s="1511" t="s">
        <v>1880</v>
      </c>
      <c r="H63" s="957"/>
      <c r="I63" s="1101"/>
      <c r="J63" s="1324">
        <v>14604690</v>
      </c>
      <c r="K63" s="1228">
        <f t="shared" si="4"/>
        <v>55.856475985450771</v>
      </c>
      <c r="L63" s="1033"/>
      <c r="M63" s="1286" t="s">
        <v>1849</v>
      </c>
      <c r="N63" s="957" t="s">
        <v>46</v>
      </c>
      <c r="O63" s="1101">
        <v>6</v>
      </c>
      <c r="P63" s="945">
        <v>32858526</v>
      </c>
      <c r="Q63" s="1228">
        <f t="shared" si="5"/>
        <v>99.889417515212543</v>
      </c>
      <c r="R63" s="1047"/>
    </row>
    <row r="64" spans="1:18" ht="15">
      <c r="A64" s="1537" t="s">
        <v>1860</v>
      </c>
      <c r="B64" s="1103"/>
      <c r="C64" s="1061">
        <v>18.989999999999998</v>
      </c>
      <c r="D64" s="162">
        <v>22467085</v>
      </c>
      <c r="E64" s="1227">
        <f t="shared" si="3"/>
        <v>95.767058328171032</v>
      </c>
      <c r="F64" s="1033"/>
      <c r="G64" s="1280" t="s">
        <v>1808</v>
      </c>
      <c r="H64" s="957" t="s">
        <v>46</v>
      </c>
      <c r="I64" s="1101">
        <v>51.8</v>
      </c>
      <c r="J64" s="944">
        <v>14674519</v>
      </c>
      <c r="K64" s="1228">
        <f t="shared" si="4"/>
        <v>56.123541007822901</v>
      </c>
      <c r="L64" s="1033"/>
      <c r="M64" s="1280" t="s">
        <v>1804</v>
      </c>
      <c r="N64" s="959"/>
      <c r="O64" s="1101">
        <v>1</v>
      </c>
      <c r="P64" s="945">
        <v>32863373</v>
      </c>
      <c r="Q64" s="1228">
        <f t="shared" si="5"/>
        <v>99.904152321232019</v>
      </c>
      <c r="R64" s="1047"/>
    </row>
    <row r="65" spans="1:18" ht="15">
      <c r="A65" s="1522" t="s">
        <v>1813</v>
      </c>
      <c r="B65" s="966"/>
      <c r="C65" s="1061">
        <v>11.058999999999999</v>
      </c>
      <c r="D65" s="162">
        <v>22568224</v>
      </c>
      <c r="E65" s="1227">
        <f t="shared" si="3"/>
        <v>96.198168305822918</v>
      </c>
      <c r="F65" s="1033"/>
      <c r="G65" s="1418" t="s">
        <v>917</v>
      </c>
      <c r="H65" s="971"/>
      <c r="I65" s="1101">
        <v>27</v>
      </c>
      <c r="J65" s="944">
        <v>14738010</v>
      </c>
      <c r="K65" s="1228">
        <f t="shared" si="4"/>
        <v>56.36636598505914</v>
      </c>
      <c r="L65" s="1033"/>
      <c r="M65" s="1286" t="s">
        <v>1808</v>
      </c>
      <c r="N65" s="969" t="s">
        <v>46</v>
      </c>
      <c r="O65" s="1101">
        <v>18.940000000000001</v>
      </c>
      <c r="P65" s="943">
        <v>32869171</v>
      </c>
      <c r="Q65" s="1228">
        <f t="shared" si="5"/>
        <v>99.921778152736252</v>
      </c>
      <c r="R65" s="1047"/>
    </row>
    <row r="66" spans="1:18" ht="15">
      <c r="A66" s="1523" t="s">
        <v>1863</v>
      </c>
      <c r="B66" s="959"/>
      <c r="C66" s="1061">
        <v>485</v>
      </c>
      <c r="D66" s="162">
        <v>22599086</v>
      </c>
      <c r="E66" s="1227">
        <f t="shared" si="3"/>
        <v>96.329719103539844</v>
      </c>
      <c r="F66" s="1033"/>
      <c r="G66" s="1280" t="s">
        <v>1550</v>
      </c>
      <c r="H66" s="959"/>
      <c r="I66" s="1101">
        <v>14</v>
      </c>
      <c r="J66" s="944">
        <v>15217095</v>
      </c>
      <c r="K66" s="1228">
        <f t="shared" si="4"/>
        <v>58.198654092337669</v>
      </c>
      <c r="L66" s="1033"/>
      <c r="M66" s="1289" t="s">
        <v>1860</v>
      </c>
      <c r="N66" s="1103"/>
      <c r="O66" s="1101">
        <v>1.3</v>
      </c>
      <c r="P66" s="943">
        <v>32871938</v>
      </c>
      <c r="Q66" s="1228">
        <f t="shared" si="5"/>
        <v>99.930189790503107</v>
      </c>
      <c r="R66" s="1047"/>
    </row>
    <row r="67" spans="1:18" ht="15">
      <c r="A67" s="1523" t="s">
        <v>1808</v>
      </c>
      <c r="B67" s="957" t="s">
        <v>46</v>
      </c>
      <c r="C67" s="1061">
        <v>12.83</v>
      </c>
      <c r="D67" s="162">
        <v>22600183</v>
      </c>
      <c r="E67" s="1227">
        <f t="shared" si="3"/>
        <v>96.334395120165311</v>
      </c>
      <c r="F67" s="1033"/>
      <c r="G67" s="1280" t="s">
        <v>1849</v>
      </c>
      <c r="H67" s="957" t="s">
        <v>46</v>
      </c>
      <c r="I67" s="1101">
        <v>15</v>
      </c>
      <c r="J67" s="945">
        <v>15225287</v>
      </c>
      <c r="K67" s="1228">
        <f t="shared" si="4"/>
        <v>58.229984866991067</v>
      </c>
      <c r="L67" s="1033"/>
      <c r="M67" s="1288" t="s">
        <v>746</v>
      </c>
      <c r="N67" s="1064"/>
      <c r="O67" s="1101"/>
      <c r="P67" s="943">
        <v>32894902</v>
      </c>
      <c r="Q67" s="1228">
        <f t="shared" si="5"/>
        <v>100</v>
      </c>
      <c r="R67" s="1047"/>
    </row>
    <row r="68" spans="1:18" ht="15">
      <c r="A68" s="1522" t="s">
        <v>1849</v>
      </c>
      <c r="B68" s="957" t="s">
        <v>46</v>
      </c>
      <c r="C68" s="1061">
        <v>4</v>
      </c>
      <c r="D68" s="940">
        <v>22603803</v>
      </c>
      <c r="E68" s="1227">
        <f t="shared" si="3"/>
        <v>96.349825548774461</v>
      </c>
      <c r="F68" s="1033"/>
      <c r="G68" s="1512" t="s">
        <v>1816</v>
      </c>
      <c r="H68" s="957" t="s">
        <v>46</v>
      </c>
      <c r="I68" s="1101">
        <v>18</v>
      </c>
      <c r="J68" s="980">
        <v>15256611</v>
      </c>
      <c r="K68" s="1228">
        <f t="shared" si="4"/>
        <v>58.349785304642829</v>
      </c>
      <c r="L68" s="1033"/>
      <c r="M68" s="1498" t="s">
        <v>1848</v>
      </c>
      <c r="N68" s="957" t="s">
        <v>46</v>
      </c>
      <c r="O68" s="1101">
        <v>64.84</v>
      </c>
      <c r="P68" s="945">
        <v>32894948</v>
      </c>
      <c r="Q68" s="1228">
        <f t="shared" si="5"/>
        <v>100.0001398392979</v>
      </c>
      <c r="R68" s="1047"/>
    </row>
    <row r="69" spans="1:18" ht="15">
      <c r="A69" s="1523" t="s">
        <v>1812</v>
      </c>
      <c r="B69" s="1187"/>
      <c r="C69" s="1060">
        <v>1</v>
      </c>
      <c r="D69" s="162">
        <v>22675669</v>
      </c>
      <c r="E69" s="1227">
        <f t="shared" si="3"/>
        <v>96.656157919609939</v>
      </c>
      <c r="F69" s="1033"/>
      <c r="G69" s="1280" t="s">
        <v>1812</v>
      </c>
      <c r="H69" s="1506"/>
      <c r="I69" s="1101">
        <v>2</v>
      </c>
      <c r="J69" s="943">
        <v>16350216</v>
      </c>
      <c r="K69" s="1228">
        <f t="shared" si="4"/>
        <v>62.532340457820943</v>
      </c>
      <c r="L69" s="1033"/>
      <c r="M69" s="1280" t="s">
        <v>1550</v>
      </c>
      <c r="N69" s="1506"/>
      <c r="O69" s="1101">
        <v>6</v>
      </c>
      <c r="P69" s="943">
        <v>32895054</v>
      </c>
      <c r="Q69" s="1228">
        <f t="shared" si="5"/>
        <v>100.00046207768</v>
      </c>
      <c r="R69" s="1047"/>
    </row>
    <row r="70" spans="1:18" ht="15">
      <c r="A70" s="1523" t="s">
        <v>1809</v>
      </c>
      <c r="B70" s="1111" t="s">
        <v>46</v>
      </c>
      <c r="C70" s="1061">
        <v>6.23</v>
      </c>
      <c r="D70" s="162">
        <v>22708009</v>
      </c>
      <c r="E70" s="1227">
        <f t="shared" si="3"/>
        <v>96.794008765250709</v>
      </c>
      <c r="F70" s="1033"/>
      <c r="G70" s="1511" t="s">
        <v>1862</v>
      </c>
      <c r="H70" s="1111"/>
      <c r="I70" s="1101">
        <v>5</v>
      </c>
      <c r="J70" s="1324">
        <v>17005822</v>
      </c>
      <c r="K70" s="1228">
        <f t="shared" si="4"/>
        <v>65.039743271226598</v>
      </c>
      <c r="L70" s="1033"/>
      <c r="M70" s="1412" t="s">
        <v>1858</v>
      </c>
      <c r="N70" s="1111" t="s">
        <v>46</v>
      </c>
      <c r="O70" s="1101">
        <v>1.01</v>
      </c>
      <c r="P70" s="943">
        <v>32911402</v>
      </c>
      <c r="Q70" s="1228">
        <f t="shared" si="5"/>
        <v>100.05015974815794</v>
      </c>
      <c r="R70" s="1047"/>
    </row>
    <row r="71" spans="1:18" ht="15">
      <c r="A71" s="1523" t="s">
        <v>1817</v>
      </c>
      <c r="B71" s="1366"/>
      <c r="C71" s="1060">
        <v>12</v>
      </c>
      <c r="D71" s="162">
        <v>22714293</v>
      </c>
      <c r="E71" s="1227">
        <f t="shared" si="3"/>
        <v>96.820794625300394</v>
      </c>
      <c r="F71" s="1033"/>
      <c r="G71" s="1280" t="s">
        <v>1817</v>
      </c>
      <c r="H71" s="1366"/>
      <c r="I71" s="1101">
        <v>19</v>
      </c>
      <c r="J71" s="944">
        <v>17104824</v>
      </c>
      <c r="K71" s="1228">
        <f t="shared" si="4"/>
        <v>65.418382108169496</v>
      </c>
      <c r="L71" s="1033"/>
      <c r="M71" s="1280" t="s">
        <v>1812</v>
      </c>
      <c r="N71" s="1366"/>
      <c r="O71" s="1101">
        <v>2</v>
      </c>
      <c r="P71" s="945">
        <v>32941649</v>
      </c>
      <c r="Q71" s="1228">
        <f t="shared" si="5"/>
        <v>100.14211016649328</v>
      </c>
      <c r="R71" s="1047"/>
    </row>
    <row r="72" spans="1:18" ht="15">
      <c r="A72" s="1523" t="s">
        <v>1550</v>
      </c>
      <c r="B72" s="1109"/>
      <c r="C72" s="1060">
        <v>4</v>
      </c>
      <c r="D72" s="162">
        <v>22752831</v>
      </c>
      <c r="E72" s="1227">
        <f t="shared" si="3"/>
        <v>96.985064751747629</v>
      </c>
      <c r="F72" s="1033"/>
      <c r="G72" s="1280" t="s">
        <v>1804</v>
      </c>
      <c r="H72" s="1109"/>
      <c r="I72" s="1101">
        <v>1</v>
      </c>
      <c r="J72" s="944">
        <v>18196297</v>
      </c>
      <c r="K72" s="1228">
        <f t="shared" si="4"/>
        <v>69.59278330485823</v>
      </c>
      <c r="L72" s="1033"/>
      <c r="M72" s="1280" t="s">
        <v>1809</v>
      </c>
      <c r="N72" s="1111" t="s">
        <v>46</v>
      </c>
      <c r="O72" s="1101">
        <v>8.9</v>
      </c>
      <c r="P72" s="943">
        <v>32983876</v>
      </c>
      <c r="Q72" s="1228">
        <f t="shared" si="5"/>
        <v>100.27047960197602</v>
      </c>
      <c r="R72" s="1047"/>
    </row>
    <row r="73" spans="1:18" ht="15">
      <c r="A73" s="1524" t="s">
        <v>1816</v>
      </c>
      <c r="B73" s="1111" t="s">
        <v>46</v>
      </c>
      <c r="C73" s="1061">
        <v>5</v>
      </c>
      <c r="D73" s="162">
        <v>22779718</v>
      </c>
      <c r="E73" s="1227">
        <f t="shared" si="3"/>
        <v>97.099671915839892</v>
      </c>
      <c r="F73" s="1033"/>
      <c r="G73" s="1511" t="s">
        <v>1861</v>
      </c>
      <c r="H73" s="1111"/>
      <c r="I73" s="1101">
        <v>14</v>
      </c>
      <c r="J73" s="1324">
        <v>18297566</v>
      </c>
      <c r="K73" s="1228">
        <f t="shared" si="4"/>
        <v>69.980092413546643</v>
      </c>
      <c r="L73" s="1033"/>
      <c r="M73" s="1280" t="s">
        <v>1817</v>
      </c>
      <c r="N73" s="1109"/>
      <c r="O73" s="1101">
        <v>17</v>
      </c>
      <c r="P73" s="945">
        <v>33029393</v>
      </c>
      <c r="Q73" s="1228">
        <f t="shared" si="5"/>
        <v>100.40885058724297</v>
      </c>
      <c r="R73" s="1047"/>
    </row>
    <row r="74" spans="1:18" ht="15">
      <c r="A74" s="1525" t="s">
        <v>1848</v>
      </c>
      <c r="B74" s="957" t="s">
        <v>46</v>
      </c>
      <c r="C74" s="1061">
        <v>63.48</v>
      </c>
      <c r="D74" s="162">
        <v>22860824</v>
      </c>
      <c r="E74" s="1227">
        <f t="shared" si="3"/>
        <v>97.445390242572728</v>
      </c>
      <c r="F74" s="1033"/>
      <c r="G74" s="1511" t="s">
        <v>1856</v>
      </c>
      <c r="H74" s="957"/>
      <c r="I74" s="1101">
        <v>31</v>
      </c>
      <c r="J74" s="1324">
        <v>20561000</v>
      </c>
      <c r="K74" s="1228">
        <f t="shared" si="4"/>
        <v>78.636725787185711</v>
      </c>
      <c r="L74" s="1033"/>
      <c r="M74" s="1291" t="s">
        <v>1816</v>
      </c>
      <c r="N74" s="957" t="s">
        <v>46</v>
      </c>
      <c r="O74" s="1101">
        <v>6</v>
      </c>
      <c r="P74" s="945">
        <v>33163588</v>
      </c>
      <c r="Q74" s="1228">
        <f t="shared" si="5"/>
        <v>100.81680133900383</v>
      </c>
      <c r="R74" s="1047"/>
    </row>
    <row r="75" spans="1:18" ht="15">
      <c r="A75" s="1523" t="s">
        <v>1804</v>
      </c>
      <c r="B75" s="1503"/>
      <c r="C75" s="1060">
        <v>1</v>
      </c>
      <c r="D75" s="162">
        <v>22931654</v>
      </c>
      <c r="E75" s="1227">
        <f t="shared" si="3"/>
        <v>97.747306612292448</v>
      </c>
      <c r="F75" s="1033"/>
      <c r="G75" s="1288" t="s">
        <v>746</v>
      </c>
      <c r="H75" s="1264"/>
      <c r="I75" s="1101"/>
      <c r="J75" s="944">
        <v>26146816</v>
      </c>
      <c r="K75" s="1228">
        <f t="shared" si="4"/>
        <v>100</v>
      </c>
      <c r="L75" s="1033"/>
      <c r="M75" s="1511" t="s">
        <v>1861</v>
      </c>
      <c r="N75" s="1502"/>
      <c r="O75" s="1101">
        <v>25</v>
      </c>
      <c r="P75" s="1002">
        <v>41816531</v>
      </c>
      <c r="Q75" s="1228">
        <f t="shared" si="5"/>
        <v>127.12161598779045</v>
      </c>
      <c r="R75" s="1047"/>
    </row>
    <row r="76" spans="1:18" ht="15">
      <c r="A76" s="1526" t="s">
        <v>746</v>
      </c>
      <c r="B76" s="1501"/>
      <c r="C76" s="1061"/>
      <c r="D76" s="162">
        <v>23460139</v>
      </c>
      <c r="E76" s="1227">
        <f t="shared" si="3"/>
        <v>100</v>
      </c>
      <c r="F76" s="1033"/>
      <c r="G76" s="1492" t="s">
        <v>1864</v>
      </c>
      <c r="H76" s="1504"/>
      <c r="I76" s="1101"/>
      <c r="J76" s="1324" t="s">
        <v>695</v>
      </c>
      <c r="K76" s="1228"/>
      <c r="L76" s="1033"/>
      <c r="M76" s="1509" t="s">
        <v>1856</v>
      </c>
      <c r="N76" s="1504"/>
      <c r="O76" s="1101">
        <v>2</v>
      </c>
      <c r="P76" s="1002">
        <v>43261690</v>
      </c>
      <c r="Q76" s="1228">
        <f t="shared" si="5"/>
        <v>131.5148772901041</v>
      </c>
      <c r="R76" s="1047"/>
    </row>
    <row r="77" spans="1:18" ht="15">
      <c r="A77" s="1041"/>
      <c r="B77" s="593"/>
      <c r="C77" s="1153"/>
      <c r="D77" s="55"/>
      <c r="E77" s="1491"/>
      <c r="F77" s="1033"/>
      <c r="G77" s="1041"/>
      <c r="H77" s="1077"/>
      <c r="I77" s="1146"/>
      <c r="J77" s="596"/>
      <c r="K77" s="1491"/>
      <c r="L77" s="1033"/>
      <c r="M77" s="1041"/>
      <c r="N77" s="1077"/>
      <c r="O77" s="1147"/>
      <c r="P77" s="55"/>
      <c r="Q77" s="1491"/>
      <c r="R77" s="1047"/>
    </row>
    <row r="78" spans="1:18" ht="15">
      <c r="A78" s="1041"/>
      <c r="B78" s="593"/>
      <c r="C78" s="1153"/>
      <c r="D78" s="55"/>
      <c r="E78" s="1491"/>
      <c r="F78" s="1033"/>
      <c r="G78" s="1041"/>
      <c r="H78" s="1077"/>
      <c r="I78" s="1146"/>
      <c r="J78" s="596"/>
      <c r="K78" s="1491"/>
      <c r="L78" s="1033"/>
      <c r="M78" s="1041"/>
      <c r="N78" s="1077"/>
      <c r="O78" s="1147"/>
      <c r="P78" s="55"/>
      <c r="Q78" s="1491"/>
      <c r="R78" s="1047"/>
    </row>
    <row r="79" spans="1:18" ht="15">
      <c r="A79" s="1372" t="s">
        <v>1875</v>
      </c>
      <c r="B79" s="593"/>
      <c r="C79" s="1153"/>
      <c r="D79" s="55"/>
      <c r="E79" s="1491"/>
      <c r="F79" s="1033"/>
      <c r="G79" s="1372" t="s">
        <v>1876</v>
      </c>
      <c r="H79" s="1077"/>
      <c r="I79" s="1146"/>
      <c r="J79" s="596"/>
      <c r="K79" s="1491"/>
      <c r="L79" s="1033"/>
      <c r="M79" s="1372" t="s">
        <v>1855</v>
      </c>
      <c r="N79" s="1077"/>
      <c r="O79" s="1147"/>
      <c r="P79" s="55"/>
      <c r="Q79" s="1491"/>
      <c r="R79" s="1047"/>
    </row>
    <row r="80" spans="1:18" ht="15">
      <c r="A80" s="991" t="s">
        <v>1874</v>
      </c>
      <c r="B80" s="1048"/>
      <c r="C80" s="1092"/>
      <c r="D80" s="3150" t="s">
        <v>1877</v>
      </c>
      <c r="E80" s="3150"/>
      <c r="F80" s="593"/>
      <c r="G80" s="991" t="s">
        <v>1869</v>
      </c>
      <c r="H80" s="1093"/>
      <c r="I80" s="1093"/>
      <c r="J80" s="3158" t="s">
        <v>1877</v>
      </c>
      <c r="K80" s="3158"/>
      <c r="L80" s="593"/>
      <c r="M80" s="991" t="s">
        <v>1866</v>
      </c>
      <c r="N80" s="1493"/>
      <c r="O80" s="1092"/>
      <c r="P80" s="3150" t="s">
        <v>1868</v>
      </c>
      <c r="Q80" s="3150"/>
      <c r="R80" s="1047"/>
    </row>
    <row r="81" spans="1:18" ht="15">
      <c r="A81" s="1283" t="s">
        <v>1864</v>
      </c>
      <c r="B81" s="1515"/>
      <c r="C81" s="1054">
        <v>4</v>
      </c>
      <c r="D81" s="1036">
        <v>15748459</v>
      </c>
      <c r="E81" s="1227">
        <f t="shared" ref="E81:E110" si="6">(D81*100/16182707)</f>
        <v>97.31659233526257</v>
      </c>
      <c r="F81" s="593"/>
      <c r="G81" s="1566" t="s">
        <v>1857</v>
      </c>
      <c r="H81" s="1191"/>
      <c r="I81" s="1061">
        <v>7</v>
      </c>
      <c r="J81" s="986">
        <v>4464366</v>
      </c>
      <c r="K81" s="1228">
        <f t="shared" ref="K81:K109" si="7">(J81*100/14337044)</f>
        <v>31.138678237996618</v>
      </c>
      <c r="L81" s="593"/>
      <c r="M81" s="1283" t="s">
        <v>1819</v>
      </c>
      <c r="N81" s="1515" t="s">
        <v>46</v>
      </c>
      <c r="O81" s="1054">
        <v>1903.86</v>
      </c>
      <c r="P81" s="1036">
        <v>14163545</v>
      </c>
      <c r="Q81" s="1227">
        <f t="shared" ref="Q81:Q109" si="8">(P81*100/17039360)</f>
        <v>83.122517512394836</v>
      </c>
      <c r="R81" s="1047"/>
    </row>
    <row r="82" spans="1:18" ht="15">
      <c r="A82" s="1412" t="s">
        <v>1501</v>
      </c>
      <c r="B82" s="1083"/>
      <c r="C82" s="1061">
        <v>8.5</v>
      </c>
      <c r="D82" s="162">
        <v>15841790</v>
      </c>
      <c r="E82" s="1227">
        <f t="shared" si="6"/>
        <v>97.89332526381402</v>
      </c>
      <c r="F82" s="1033"/>
      <c r="G82" s="1511" t="s">
        <v>1862</v>
      </c>
      <c r="H82" s="1556"/>
      <c r="I82" s="1061">
        <v>2</v>
      </c>
      <c r="J82" s="986">
        <v>5202034</v>
      </c>
      <c r="K82" s="1228">
        <f t="shared" si="7"/>
        <v>36.28386716257549</v>
      </c>
      <c r="L82" s="1033"/>
      <c r="M82" s="1412" t="s">
        <v>1242</v>
      </c>
      <c r="N82" s="1078" t="s">
        <v>46</v>
      </c>
      <c r="O82" s="1061">
        <v>243.8</v>
      </c>
      <c r="P82" s="162">
        <v>14596166</v>
      </c>
      <c r="Q82" s="1227">
        <f t="shared" si="8"/>
        <v>85.661468505859375</v>
      </c>
      <c r="R82" s="1047"/>
    </row>
    <row r="83" spans="1:18" ht="15">
      <c r="A83" s="1280" t="s">
        <v>1815</v>
      </c>
      <c r="B83" s="1069"/>
      <c r="C83" s="1061">
        <v>27.79</v>
      </c>
      <c r="D83" s="162">
        <v>15855101</v>
      </c>
      <c r="E83" s="1227">
        <f t="shared" si="6"/>
        <v>97.975579734589516</v>
      </c>
      <c r="F83" s="1033"/>
      <c r="G83" s="1511" t="s">
        <v>1861</v>
      </c>
      <c r="H83" s="1069"/>
      <c r="I83" s="1061">
        <v>5</v>
      </c>
      <c r="J83" s="986">
        <v>6077469</v>
      </c>
      <c r="K83" s="1228">
        <f t="shared" si="7"/>
        <v>42.389972437833073</v>
      </c>
      <c r="L83" s="1033"/>
      <c r="M83" s="1280" t="s">
        <v>1815</v>
      </c>
      <c r="N83" s="1069"/>
      <c r="O83" s="1061">
        <v>31.76</v>
      </c>
      <c r="P83" s="162">
        <v>15330681</v>
      </c>
      <c r="Q83" s="1227">
        <f t="shared" si="8"/>
        <v>89.972164447490982</v>
      </c>
      <c r="R83" s="1047"/>
    </row>
    <row r="84" spans="1:18" ht="15">
      <c r="A84" s="1562" t="s">
        <v>1242</v>
      </c>
      <c r="B84" s="1495" t="s">
        <v>46</v>
      </c>
      <c r="C84" s="1070">
        <v>236.72</v>
      </c>
      <c r="D84" s="1496">
        <v>15883097</v>
      </c>
      <c r="E84" s="1227">
        <f t="shared" si="6"/>
        <v>98.148579221016604</v>
      </c>
      <c r="F84" s="1033"/>
      <c r="G84" s="1527" t="s">
        <v>1856</v>
      </c>
      <c r="H84" s="1495"/>
      <c r="I84" s="1070">
        <v>3</v>
      </c>
      <c r="J84" s="1499">
        <v>6674140</v>
      </c>
      <c r="K84" s="1228">
        <f t="shared" si="7"/>
        <v>46.551715960416942</v>
      </c>
      <c r="L84" s="1033"/>
      <c r="M84" s="1516" t="s">
        <v>1860</v>
      </c>
      <c r="N84" s="1514"/>
      <c r="O84" s="1070">
        <v>15.3</v>
      </c>
      <c r="P84" s="1496">
        <v>15514158</v>
      </c>
      <c r="Q84" s="1227">
        <f t="shared" si="8"/>
        <v>91.048947847806488</v>
      </c>
      <c r="R84" s="1047"/>
    </row>
    <row r="85" spans="1:18" ht="15">
      <c r="A85" s="1517" t="s">
        <v>1819</v>
      </c>
      <c r="B85" s="1495" t="s">
        <v>46</v>
      </c>
      <c r="C85" s="1070">
        <v>1855.14</v>
      </c>
      <c r="D85" s="1496">
        <v>15899370</v>
      </c>
      <c r="E85" s="1227">
        <f t="shared" si="6"/>
        <v>98.249137180819005</v>
      </c>
      <c r="F85" s="1033"/>
      <c r="G85" s="1572" t="s">
        <v>1819</v>
      </c>
      <c r="H85" s="1568" t="s">
        <v>46</v>
      </c>
      <c r="I85" s="1159">
        <v>1527.62</v>
      </c>
      <c r="J85" s="1569">
        <v>11500089</v>
      </c>
      <c r="K85" s="1228">
        <f t="shared" si="7"/>
        <v>80.212413381726392</v>
      </c>
      <c r="L85" s="1033"/>
      <c r="M85" s="1517" t="s">
        <v>146</v>
      </c>
      <c r="N85" s="1513"/>
      <c r="O85" s="1070">
        <v>360.5</v>
      </c>
      <c r="P85" s="1496">
        <v>15557951</v>
      </c>
      <c r="Q85" s="1227">
        <f t="shared" si="8"/>
        <v>91.305958674504211</v>
      </c>
      <c r="R85" s="1047"/>
    </row>
    <row r="86" spans="1:18" ht="15">
      <c r="A86" s="1518" t="s">
        <v>146</v>
      </c>
      <c r="B86" s="1513"/>
      <c r="C86" s="1070">
        <v>436.25</v>
      </c>
      <c r="D86" s="1496">
        <v>15948364</v>
      </c>
      <c r="E86" s="1227">
        <f t="shared" si="6"/>
        <v>98.551892461502263</v>
      </c>
      <c r="F86" s="1033"/>
      <c r="G86" s="1530" t="s">
        <v>1242</v>
      </c>
      <c r="H86" s="1495" t="s">
        <v>46</v>
      </c>
      <c r="I86" s="1070">
        <v>227.28</v>
      </c>
      <c r="J86" s="1496">
        <v>11576707</v>
      </c>
      <c r="K86" s="1228">
        <f t="shared" si="7"/>
        <v>80.746819218801306</v>
      </c>
      <c r="L86" s="1033"/>
      <c r="M86" s="1518" t="s">
        <v>1814</v>
      </c>
      <c r="N86" s="1500"/>
      <c r="O86" s="1070">
        <v>100.28</v>
      </c>
      <c r="P86" s="1496">
        <v>15599864</v>
      </c>
      <c r="Q86" s="1227">
        <f t="shared" si="8"/>
        <v>91.551936222956726</v>
      </c>
      <c r="R86" s="1047"/>
    </row>
    <row r="87" spans="1:18" ht="15">
      <c r="A87" s="1518" t="s">
        <v>1814</v>
      </c>
      <c r="B87" s="1500"/>
      <c r="C87" s="1070">
        <v>125.9</v>
      </c>
      <c r="D87" s="1496">
        <v>15956273</v>
      </c>
      <c r="E87" s="1227">
        <f t="shared" si="6"/>
        <v>98.600765619744578</v>
      </c>
      <c r="F87" s="1033"/>
      <c r="G87" s="1518" t="s">
        <v>1815</v>
      </c>
      <c r="H87" s="1513"/>
      <c r="I87" s="1070">
        <v>25.75</v>
      </c>
      <c r="J87" s="1496">
        <v>11862803</v>
      </c>
      <c r="K87" s="1228">
        <f t="shared" si="7"/>
        <v>82.742321220469151</v>
      </c>
      <c r="L87" s="1033"/>
      <c r="M87" s="1530" t="s">
        <v>1858</v>
      </c>
      <c r="N87" s="1495" t="s">
        <v>46</v>
      </c>
      <c r="O87" s="1070">
        <v>31.61</v>
      </c>
      <c r="P87" s="1496">
        <v>15635305</v>
      </c>
      <c r="Q87" s="1227">
        <f t="shared" si="8"/>
        <v>91.759931124173676</v>
      </c>
      <c r="R87" s="1047"/>
    </row>
    <row r="88" spans="1:18" ht="15">
      <c r="A88" s="1532" t="s">
        <v>917</v>
      </c>
      <c r="B88" s="1513"/>
      <c r="C88" s="1070">
        <v>17</v>
      </c>
      <c r="D88" s="1496">
        <v>15960600</v>
      </c>
      <c r="E88" s="1227">
        <f t="shared" si="6"/>
        <v>98.627504038724794</v>
      </c>
      <c r="F88" s="1033"/>
      <c r="G88" s="1559" t="s">
        <v>1800</v>
      </c>
      <c r="H88" s="1500"/>
      <c r="I88" s="1070">
        <v>12.6</v>
      </c>
      <c r="J88" s="1496">
        <v>12136690</v>
      </c>
      <c r="K88" s="1228">
        <f t="shared" si="7"/>
        <v>84.652666198136799</v>
      </c>
      <c r="L88" s="1033"/>
      <c r="M88" s="1532" t="s">
        <v>917</v>
      </c>
      <c r="N88" s="1513"/>
      <c r="O88" s="1070">
        <v>14</v>
      </c>
      <c r="P88" s="1496">
        <v>15699974</v>
      </c>
      <c r="Q88" s="1227">
        <f t="shared" si="8"/>
        <v>92.139458289513215</v>
      </c>
      <c r="R88" s="1047"/>
    </row>
    <row r="89" spans="1:18" ht="15">
      <c r="A89" s="1558" t="s">
        <v>1800</v>
      </c>
      <c r="B89" s="1500"/>
      <c r="C89" s="1070">
        <v>4.2</v>
      </c>
      <c r="D89" s="1496">
        <v>15969327</v>
      </c>
      <c r="E89" s="1227">
        <f t="shared" si="6"/>
        <v>98.68143197550323</v>
      </c>
      <c r="F89" s="1033"/>
      <c r="G89" s="1557" t="s">
        <v>1858</v>
      </c>
      <c r="H89" s="1495" t="s">
        <v>46</v>
      </c>
      <c r="I89" s="1070">
        <v>31.2</v>
      </c>
      <c r="J89" s="1496">
        <v>12271499</v>
      </c>
      <c r="K89" s="1228">
        <f t="shared" si="7"/>
        <v>85.592950680767942</v>
      </c>
      <c r="L89" s="1033"/>
      <c r="M89" s="1533" t="s">
        <v>1848</v>
      </c>
      <c r="N89" s="1495" t="s">
        <v>46</v>
      </c>
      <c r="O89" s="1070">
        <v>34.14</v>
      </c>
      <c r="P89" s="1496">
        <v>15716690</v>
      </c>
      <c r="Q89" s="1227">
        <f t="shared" si="8"/>
        <v>92.237560565655045</v>
      </c>
      <c r="R89" s="1047"/>
    </row>
    <row r="90" spans="1:18" ht="15">
      <c r="A90" s="1412" t="s">
        <v>1858</v>
      </c>
      <c r="B90" s="1072" t="s">
        <v>46</v>
      </c>
      <c r="C90" s="1070">
        <v>35.61</v>
      </c>
      <c r="D90" s="162">
        <v>15975237</v>
      </c>
      <c r="E90" s="1227">
        <f t="shared" si="6"/>
        <v>98.717952441454941</v>
      </c>
      <c r="F90" s="1033"/>
      <c r="G90" s="1289" t="s">
        <v>1860</v>
      </c>
      <c r="H90" s="1099"/>
      <c r="I90" s="1070">
        <v>12.9</v>
      </c>
      <c r="J90" s="162">
        <v>12286355</v>
      </c>
      <c r="K90" s="1228">
        <f t="shared" si="7"/>
        <v>85.696570366945934</v>
      </c>
      <c r="L90" s="1033"/>
      <c r="M90" s="1280" t="s">
        <v>1813</v>
      </c>
      <c r="N90" s="1141"/>
      <c r="O90" s="1070">
        <v>7.7050000000000001</v>
      </c>
      <c r="P90" s="162">
        <v>15733264</v>
      </c>
      <c r="Q90" s="1227">
        <f t="shared" si="8"/>
        <v>92.334829477163467</v>
      </c>
      <c r="R90" s="1047"/>
    </row>
    <row r="91" spans="1:18" ht="15">
      <c r="A91" s="1286" t="s">
        <v>1813</v>
      </c>
      <c r="B91" s="956"/>
      <c r="C91" s="1070">
        <v>7.5339999999999998</v>
      </c>
      <c r="D91" s="944">
        <v>15996848</v>
      </c>
      <c r="E91" s="1227">
        <f t="shared" si="6"/>
        <v>98.85149622989529</v>
      </c>
      <c r="F91" s="1033"/>
      <c r="G91" s="1286" t="s">
        <v>146</v>
      </c>
      <c r="H91" s="1069"/>
      <c r="I91" s="1070">
        <v>227.5</v>
      </c>
      <c r="J91" s="944">
        <v>12367102</v>
      </c>
      <c r="K91" s="1228">
        <f t="shared" si="7"/>
        <v>86.259775725037883</v>
      </c>
      <c r="L91" s="1033"/>
      <c r="M91" s="1418" t="s">
        <v>1863</v>
      </c>
      <c r="N91" s="957"/>
      <c r="O91" s="1071">
        <v>372</v>
      </c>
      <c r="P91" s="944">
        <v>15744586</v>
      </c>
      <c r="Q91" s="1227">
        <f t="shared" si="8"/>
        <v>92.401275634765625</v>
      </c>
      <c r="R91" s="1047"/>
    </row>
    <row r="92" spans="1:18" ht="15">
      <c r="A92" s="1288" t="s">
        <v>703</v>
      </c>
      <c r="B92" s="968"/>
      <c r="C92" s="1061">
        <v>9.25</v>
      </c>
      <c r="D92" s="943">
        <v>15998546</v>
      </c>
      <c r="E92" s="1227">
        <f t="shared" si="6"/>
        <v>98.861988911991048</v>
      </c>
      <c r="F92" s="1033"/>
      <c r="G92" s="1280" t="s">
        <v>1814</v>
      </c>
      <c r="H92" s="1066"/>
      <c r="I92" s="1061">
        <v>78.89</v>
      </c>
      <c r="J92" s="943">
        <v>12412568</v>
      </c>
      <c r="K92" s="1228">
        <f t="shared" si="7"/>
        <v>86.576898278334085</v>
      </c>
      <c r="L92" s="1033"/>
      <c r="M92" s="1287" t="s">
        <v>1800</v>
      </c>
      <c r="N92" s="1066"/>
      <c r="O92" s="1061">
        <v>4.4000000000000004</v>
      </c>
      <c r="P92" s="943">
        <v>15846102</v>
      </c>
      <c r="Q92" s="1227">
        <f t="shared" si="8"/>
        <v>92.997049184945908</v>
      </c>
      <c r="R92" s="1047"/>
    </row>
    <row r="93" spans="1:18" ht="15">
      <c r="A93" s="1280" t="s">
        <v>1818</v>
      </c>
      <c r="B93" s="1067"/>
      <c r="C93" s="1070">
        <v>42.6</v>
      </c>
      <c r="D93" s="979">
        <v>16004224</v>
      </c>
      <c r="E93" s="1227">
        <f t="shared" si="6"/>
        <v>98.897075748822488</v>
      </c>
      <c r="F93" s="1033"/>
      <c r="G93" s="1412" t="s">
        <v>1863</v>
      </c>
      <c r="H93" s="957"/>
      <c r="I93" s="1071">
        <v>357</v>
      </c>
      <c r="J93" s="979">
        <v>12513899</v>
      </c>
      <c r="K93" s="1228">
        <f t="shared" si="7"/>
        <v>87.283675770263386</v>
      </c>
      <c r="L93" s="1033"/>
      <c r="M93" s="1288" t="s">
        <v>703</v>
      </c>
      <c r="N93" s="956"/>
      <c r="O93" s="1070">
        <v>9.7899999999999991</v>
      </c>
      <c r="P93" s="979">
        <v>15882766</v>
      </c>
      <c r="Q93" s="1227">
        <f t="shared" si="8"/>
        <v>93.212221585787262</v>
      </c>
      <c r="R93" s="1047"/>
    </row>
    <row r="94" spans="1:18" ht="15">
      <c r="A94" s="1522" t="s">
        <v>1849</v>
      </c>
      <c r="B94" s="1495" t="s">
        <v>46</v>
      </c>
      <c r="C94" s="1071">
        <v>3</v>
      </c>
      <c r="D94" s="1496">
        <v>16009061</v>
      </c>
      <c r="E94" s="1227">
        <f t="shared" si="6"/>
        <v>98.926965680092948</v>
      </c>
      <c r="F94" s="1033"/>
      <c r="G94" s="1539" t="s">
        <v>703</v>
      </c>
      <c r="H94" s="1540"/>
      <c r="I94" s="1070">
        <v>8.5</v>
      </c>
      <c r="J94" s="1496">
        <v>12631228</v>
      </c>
      <c r="K94" s="1228">
        <f t="shared" si="7"/>
        <v>88.102038328123982</v>
      </c>
      <c r="L94" s="1033"/>
      <c r="M94" s="1522" t="s">
        <v>1808</v>
      </c>
      <c r="N94" s="1495" t="s">
        <v>46</v>
      </c>
      <c r="O94" s="1071">
        <v>13.51</v>
      </c>
      <c r="P94" s="1496">
        <v>15923015</v>
      </c>
      <c r="Q94" s="1227">
        <f t="shared" si="8"/>
        <v>93.448433509239777</v>
      </c>
      <c r="R94" s="1047"/>
    </row>
    <row r="95" spans="1:18" ht="15">
      <c r="A95" s="1412" t="s">
        <v>1863</v>
      </c>
      <c r="B95" s="957"/>
      <c r="C95" s="1060">
        <v>367</v>
      </c>
      <c r="D95" s="943">
        <v>16010448</v>
      </c>
      <c r="E95" s="1227">
        <f t="shared" si="6"/>
        <v>98.93553655763526</v>
      </c>
      <c r="F95" s="1033"/>
      <c r="G95" s="1555" t="s">
        <v>1848</v>
      </c>
      <c r="H95" s="957" t="s">
        <v>46</v>
      </c>
      <c r="I95" s="1061">
        <v>4.4850000000000003</v>
      </c>
      <c r="J95" s="943">
        <v>12694548</v>
      </c>
      <c r="K95" s="1228">
        <f t="shared" si="7"/>
        <v>88.543691433185245</v>
      </c>
      <c r="L95" s="1033"/>
      <c r="M95" s="1280" t="s">
        <v>1849</v>
      </c>
      <c r="N95" s="957" t="s">
        <v>46</v>
      </c>
      <c r="O95" s="1060">
        <v>3</v>
      </c>
      <c r="P95" s="943">
        <v>16082982</v>
      </c>
      <c r="Q95" s="1227">
        <f t="shared" si="8"/>
        <v>94.387242243840149</v>
      </c>
      <c r="R95" s="1047"/>
    </row>
    <row r="96" spans="1:18" ht="15">
      <c r="A96" s="1280" t="s">
        <v>1808</v>
      </c>
      <c r="B96" s="1072" t="s">
        <v>46</v>
      </c>
      <c r="C96" s="1060">
        <v>10.9</v>
      </c>
      <c r="D96" s="943">
        <v>16021582</v>
      </c>
      <c r="E96" s="1227">
        <f t="shared" si="6"/>
        <v>99.004338396536497</v>
      </c>
      <c r="F96" s="1033"/>
      <c r="G96" s="1280" t="s">
        <v>1813</v>
      </c>
      <c r="H96" s="1141"/>
      <c r="I96" s="1061">
        <v>6.194</v>
      </c>
      <c r="J96" s="943">
        <v>12807056</v>
      </c>
      <c r="K96" s="1228">
        <f t="shared" si="7"/>
        <v>89.328427812595123</v>
      </c>
      <c r="L96" s="1033"/>
      <c r="M96" s="1280" t="s">
        <v>1550</v>
      </c>
      <c r="N96" s="1074"/>
      <c r="O96" s="1061">
        <v>3</v>
      </c>
      <c r="P96" s="943">
        <v>16083258</v>
      </c>
      <c r="Q96" s="1227">
        <f t="shared" si="8"/>
        <v>94.388862022986785</v>
      </c>
      <c r="R96" s="1047"/>
    </row>
    <row r="97" spans="1:18" ht="15">
      <c r="A97" s="1286" t="s">
        <v>1804</v>
      </c>
      <c r="B97" s="959"/>
      <c r="C97" s="1061">
        <v>1</v>
      </c>
      <c r="D97" s="162">
        <v>16028964</v>
      </c>
      <c r="E97" s="1227">
        <f t="shared" si="6"/>
        <v>99.049954992078895</v>
      </c>
      <c r="F97" s="1033"/>
      <c r="G97" s="1418" t="s">
        <v>1501</v>
      </c>
      <c r="H97" s="1064"/>
      <c r="I97" s="1061">
        <v>6.6</v>
      </c>
      <c r="J97" s="162">
        <v>12860955</v>
      </c>
      <c r="K97" s="1228">
        <f t="shared" si="7"/>
        <v>89.704370022160774</v>
      </c>
      <c r="L97" s="1033"/>
      <c r="M97" s="1512" t="s">
        <v>1816</v>
      </c>
      <c r="N97" s="957" t="s">
        <v>46</v>
      </c>
      <c r="O97" s="1061">
        <v>4</v>
      </c>
      <c r="P97" s="162">
        <v>16181027</v>
      </c>
      <c r="Q97" s="1227">
        <f t="shared" si="8"/>
        <v>94.962645310621994</v>
      </c>
      <c r="R97" s="1047"/>
    </row>
    <row r="98" spans="1:18" ht="15">
      <c r="A98" s="1555" t="s">
        <v>1848</v>
      </c>
      <c r="B98" s="957" t="s">
        <v>46</v>
      </c>
      <c r="C98" s="1061">
        <v>3.7970000000000002</v>
      </c>
      <c r="D98" s="162">
        <v>16053306</v>
      </c>
      <c r="E98" s="1227">
        <f t="shared" si="6"/>
        <v>99.200374819861722</v>
      </c>
      <c r="F98" s="1033"/>
      <c r="G98" s="1412" t="s">
        <v>917</v>
      </c>
      <c r="H98" s="1069"/>
      <c r="I98" s="1061">
        <v>11</v>
      </c>
      <c r="J98" s="162">
        <v>12958381</v>
      </c>
      <c r="K98" s="1228">
        <f t="shared" si="7"/>
        <v>90.383910379294363</v>
      </c>
      <c r="L98" s="1033"/>
      <c r="M98" s="1412" t="s">
        <v>1501</v>
      </c>
      <c r="N98" s="1064"/>
      <c r="O98" s="1061">
        <v>8.6199999999999992</v>
      </c>
      <c r="P98" s="162">
        <v>16199787</v>
      </c>
      <c r="Q98" s="1227">
        <f t="shared" si="8"/>
        <v>95.072743342472961</v>
      </c>
      <c r="R98" s="1047"/>
    </row>
    <row r="99" spans="1:18" ht="15">
      <c r="A99" s="1561" t="s">
        <v>1860</v>
      </c>
      <c r="B99" s="1529"/>
      <c r="C99" s="1061">
        <v>20.399999999999999</v>
      </c>
      <c r="D99" s="162">
        <v>16054380</v>
      </c>
      <c r="E99" s="1227">
        <f t="shared" si="6"/>
        <v>99.207011533978829</v>
      </c>
      <c r="F99" s="1033"/>
      <c r="G99" s="1511" t="s">
        <v>1880</v>
      </c>
      <c r="H99" s="969"/>
      <c r="I99" s="1061">
        <v>4</v>
      </c>
      <c r="J99" s="986">
        <v>13125422</v>
      </c>
      <c r="K99" s="1228">
        <f t="shared" si="7"/>
        <v>91.549011079271295</v>
      </c>
      <c r="L99" s="1033"/>
      <c r="M99" s="1286" t="s">
        <v>1818</v>
      </c>
      <c r="N99" s="1209"/>
      <c r="O99" s="1061">
        <v>35.299999999999997</v>
      </c>
      <c r="P99" s="162">
        <v>16211216</v>
      </c>
      <c r="Q99" s="1227">
        <f t="shared" si="8"/>
        <v>95.139817457932693</v>
      </c>
      <c r="R99" s="1047"/>
    </row>
    <row r="100" spans="1:18" ht="15">
      <c r="A100" s="1280" t="s">
        <v>1812</v>
      </c>
      <c r="B100" s="959"/>
      <c r="C100" s="1061">
        <v>1</v>
      </c>
      <c r="D100" s="162">
        <v>16062296</v>
      </c>
      <c r="E100" s="1227">
        <f t="shared" si="6"/>
        <v>99.255927948272188</v>
      </c>
      <c r="F100" s="1033"/>
      <c r="G100" s="1280" t="s">
        <v>1809</v>
      </c>
      <c r="H100" s="957" t="s">
        <v>46</v>
      </c>
      <c r="I100" s="1061">
        <v>4.0999999999999996</v>
      </c>
      <c r="J100" s="162">
        <v>13184268</v>
      </c>
      <c r="K100" s="1228">
        <f t="shared" si="7"/>
        <v>91.959458309537169</v>
      </c>
      <c r="L100" s="1033"/>
      <c r="M100" s="1280" t="s">
        <v>1809</v>
      </c>
      <c r="N100" s="957" t="s">
        <v>46</v>
      </c>
      <c r="O100" s="1061">
        <v>3.9</v>
      </c>
      <c r="P100" s="162">
        <v>16345140</v>
      </c>
      <c r="Q100" s="1227">
        <f t="shared" si="8"/>
        <v>95.925785945012024</v>
      </c>
      <c r="R100" s="1047"/>
    </row>
    <row r="101" spans="1:18" ht="15">
      <c r="A101" s="1280" t="s">
        <v>1809</v>
      </c>
      <c r="B101" s="957" t="s">
        <v>46</v>
      </c>
      <c r="C101" s="955">
        <v>5.9</v>
      </c>
      <c r="D101" s="141">
        <v>16095430</v>
      </c>
      <c r="E101" s="1227">
        <f t="shared" si="6"/>
        <v>99.460677376164568</v>
      </c>
      <c r="F101" s="1033"/>
      <c r="G101" s="1280" t="s">
        <v>1818</v>
      </c>
      <c r="H101" s="1067"/>
      <c r="I101" s="955">
        <v>38.200000000000003</v>
      </c>
      <c r="J101" s="141">
        <v>13192515</v>
      </c>
      <c r="K101" s="1228">
        <f t="shared" si="7"/>
        <v>92.016980627247847</v>
      </c>
      <c r="L101" s="1033"/>
      <c r="M101" s="1280" t="s">
        <v>1804</v>
      </c>
      <c r="N101" s="959"/>
      <c r="O101" s="955">
        <v>1</v>
      </c>
      <c r="P101" s="141">
        <v>16499443</v>
      </c>
      <c r="Q101" s="1227">
        <f t="shared" si="8"/>
        <v>96.83135399451622</v>
      </c>
      <c r="R101" s="1047"/>
    </row>
    <row r="102" spans="1:18" ht="15">
      <c r="A102" s="1286" t="s">
        <v>1817</v>
      </c>
      <c r="B102" s="959"/>
      <c r="C102" s="1060">
        <v>10</v>
      </c>
      <c r="D102" s="162">
        <v>16110815</v>
      </c>
      <c r="E102" s="1227">
        <f t="shared" si="6"/>
        <v>99.555747996920417</v>
      </c>
      <c r="F102" s="1033"/>
      <c r="G102" s="1286" t="s">
        <v>1808</v>
      </c>
      <c r="H102" s="957" t="s">
        <v>46</v>
      </c>
      <c r="I102" s="1060">
        <v>9.66</v>
      </c>
      <c r="J102" s="162">
        <v>13437765</v>
      </c>
      <c r="K102" s="1228">
        <f t="shared" si="7"/>
        <v>93.727584291434127</v>
      </c>
      <c r="L102" s="1033"/>
      <c r="M102" s="1286" t="s">
        <v>1812</v>
      </c>
      <c r="N102" s="959"/>
      <c r="O102" s="1061">
        <v>1</v>
      </c>
      <c r="P102" s="162">
        <v>16503428</v>
      </c>
      <c r="Q102" s="1227">
        <f t="shared" si="8"/>
        <v>96.854741023137024</v>
      </c>
      <c r="R102" s="1047"/>
    </row>
    <row r="103" spans="1:18" ht="15">
      <c r="A103" s="1280" t="s">
        <v>1550</v>
      </c>
      <c r="B103" s="1506"/>
      <c r="C103" s="1061">
        <v>3</v>
      </c>
      <c r="D103" s="162">
        <v>16155999</v>
      </c>
      <c r="E103" s="1227">
        <f t="shared" si="6"/>
        <v>99.834959626964761</v>
      </c>
      <c r="F103" s="1033"/>
      <c r="G103" s="1280" t="s">
        <v>1849</v>
      </c>
      <c r="H103" s="1552" t="s">
        <v>46</v>
      </c>
      <c r="I103" s="1060">
        <v>3</v>
      </c>
      <c r="J103" s="162">
        <v>13533522</v>
      </c>
      <c r="K103" s="1228">
        <f t="shared" si="7"/>
        <v>94.39548347623122</v>
      </c>
      <c r="L103" s="1033"/>
      <c r="M103" s="1280" t="s">
        <v>1817</v>
      </c>
      <c r="N103" s="1506"/>
      <c r="O103" s="1060">
        <v>9</v>
      </c>
      <c r="P103" s="162">
        <v>16633012</v>
      </c>
      <c r="Q103" s="1227">
        <f t="shared" si="8"/>
        <v>97.615239070012024</v>
      </c>
      <c r="R103" s="1047"/>
    </row>
    <row r="104" spans="1:18" ht="15">
      <c r="A104" s="1291" t="s">
        <v>1816</v>
      </c>
      <c r="B104" s="1111" t="s">
        <v>46</v>
      </c>
      <c r="C104" s="1061">
        <v>4</v>
      </c>
      <c r="D104" s="162">
        <v>16165696</v>
      </c>
      <c r="E104" s="1227">
        <f t="shared" si="6"/>
        <v>99.89488161653054</v>
      </c>
      <c r="F104" s="1033"/>
      <c r="G104" s="1280" t="s">
        <v>1550</v>
      </c>
      <c r="H104" s="1109"/>
      <c r="I104" s="1061">
        <v>4</v>
      </c>
      <c r="J104" s="162">
        <v>13536617</v>
      </c>
      <c r="K104" s="1228">
        <f t="shared" si="7"/>
        <v>94.417070910851635</v>
      </c>
      <c r="L104" s="1033"/>
      <c r="M104" s="1288" t="s">
        <v>746</v>
      </c>
      <c r="N104" s="1505"/>
      <c r="O104" s="1061"/>
      <c r="P104" s="162">
        <v>17039360</v>
      </c>
      <c r="Q104" s="1227">
        <f t="shared" si="8"/>
        <v>100</v>
      </c>
      <c r="R104" s="1047"/>
    </row>
    <row r="105" spans="1:18" ht="15">
      <c r="A105" s="1288" t="s">
        <v>746</v>
      </c>
      <c r="B105" s="1563"/>
      <c r="C105" s="1061"/>
      <c r="D105" s="162">
        <v>16182707</v>
      </c>
      <c r="E105" s="1227">
        <f t="shared" si="6"/>
        <v>100</v>
      </c>
      <c r="F105" s="1033"/>
      <c r="G105" s="1291" t="s">
        <v>1816</v>
      </c>
      <c r="H105" s="964" t="s">
        <v>46</v>
      </c>
      <c r="I105" s="1061">
        <v>3</v>
      </c>
      <c r="J105" s="162">
        <v>13600918</v>
      </c>
      <c r="K105" s="1228">
        <f t="shared" si="7"/>
        <v>94.865566430569643</v>
      </c>
      <c r="L105" s="1033"/>
      <c r="M105" s="1511" t="s">
        <v>1880</v>
      </c>
      <c r="N105" s="964"/>
      <c r="O105" s="1061">
        <v>1</v>
      </c>
      <c r="P105" s="986">
        <v>18503280</v>
      </c>
      <c r="Q105" s="1227">
        <f t="shared" si="8"/>
        <v>108.59140249399039</v>
      </c>
      <c r="R105" s="1047"/>
    </row>
    <row r="106" spans="1:18" ht="15">
      <c r="A106" s="1511" t="s">
        <v>1880</v>
      </c>
      <c r="B106" s="1111"/>
      <c r="C106" s="1061">
        <v>2</v>
      </c>
      <c r="D106" s="986">
        <v>17665054</v>
      </c>
      <c r="E106" s="1227">
        <f t="shared" si="6"/>
        <v>109.16006821355661</v>
      </c>
      <c r="F106" s="1033"/>
      <c r="G106" s="1280" t="s">
        <v>1812</v>
      </c>
      <c r="H106" s="1109"/>
      <c r="I106" s="1061">
        <v>1</v>
      </c>
      <c r="J106" s="162">
        <v>14072781</v>
      </c>
      <c r="K106" s="1228">
        <f t="shared" si="7"/>
        <v>98.156781830341032</v>
      </c>
      <c r="L106" s="1033"/>
      <c r="M106" s="1511" t="s">
        <v>1857</v>
      </c>
      <c r="N106" s="1111"/>
      <c r="O106" s="1061">
        <v>14</v>
      </c>
      <c r="P106" s="986">
        <v>19098858</v>
      </c>
      <c r="Q106" s="1227">
        <f t="shared" si="8"/>
        <v>112.08670982947716</v>
      </c>
      <c r="R106" s="1047"/>
    </row>
    <row r="107" spans="1:18" ht="15">
      <c r="A107" s="1511" t="s">
        <v>1857</v>
      </c>
      <c r="B107" s="1111"/>
      <c r="C107" s="1061">
        <v>19</v>
      </c>
      <c r="D107" s="986">
        <v>22122909</v>
      </c>
      <c r="E107" s="1227">
        <f t="shared" si="6"/>
        <v>136.70709727365144</v>
      </c>
      <c r="F107" s="1033"/>
      <c r="G107" s="1280" t="s">
        <v>1804</v>
      </c>
      <c r="H107" s="1109"/>
      <c r="I107" s="1061">
        <v>1</v>
      </c>
      <c r="J107" s="162">
        <v>14123268</v>
      </c>
      <c r="K107" s="1228">
        <f t="shared" si="7"/>
        <v>98.508925549785573</v>
      </c>
      <c r="L107" s="1033"/>
      <c r="M107" s="1511" t="s">
        <v>1862</v>
      </c>
      <c r="N107" s="1112"/>
      <c r="O107" s="1061">
        <v>5</v>
      </c>
      <c r="P107" s="986">
        <v>20985396</v>
      </c>
      <c r="Q107" s="1227">
        <f t="shared" si="8"/>
        <v>123.15835806039664</v>
      </c>
      <c r="R107" s="1047"/>
    </row>
    <row r="108" spans="1:18" ht="15">
      <c r="A108" s="1511" t="s">
        <v>1862</v>
      </c>
      <c r="B108" s="1069"/>
      <c r="C108" s="1061">
        <v>7</v>
      </c>
      <c r="D108" s="986">
        <v>23848040</v>
      </c>
      <c r="E108" s="1227">
        <f t="shared" si="6"/>
        <v>147.36743364382733</v>
      </c>
      <c r="F108" s="1033"/>
      <c r="G108" s="1280" t="s">
        <v>1817</v>
      </c>
      <c r="H108" s="959"/>
      <c r="I108" s="1060">
        <v>11</v>
      </c>
      <c r="J108" s="162">
        <v>14134001</v>
      </c>
      <c r="K108" s="1228">
        <f t="shared" si="7"/>
        <v>98.583787564577463</v>
      </c>
      <c r="L108" s="1033"/>
      <c r="M108" s="1511" t="s">
        <v>1861</v>
      </c>
      <c r="N108" s="1069"/>
      <c r="O108" s="1061">
        <v>6</v>
      </c>
      <c r="P108" s="986">
        <v>27843785</v>
      </c>
      <c r="Q108" s="1227">
        <f t="shared" si="8"/>
        <v>163.40863154484674</v>
      </c>
      <c r="R108" s="1047"/>
    </row>
    <row r="109" spans="1:18" ht="15">
      <c r="A109" s="1511" t="s">
        <v>1861</v>
      </c>
      <c r="B109" s="1577"/>
      <c r="C109" s="1061">
        <v>10</v>
      </c>
      <c r="D109" s="986">
        <v>26546222</v>
      </c>
      <c r="E109" s="1227">
        <f t="shared" si="6"/>
        <v>164.04067626015845</v>
      </c>
      <c r="F109" s="1033"/>
      <c r="G109" s="1288" t="s">
        <v>746</v>
      </c>
      <c r="H109" s="1264"/>
      <c r="I109" s="1061"/>
      <c r="J109" s="162">
        <v>14337044</v>
      </c>
      <c r="K109" s="1228">
        <f t="shared" si="7"/>
        <v>100</v>
      </c>
      <c r="L109" s="1033"/>
      <c r="M109" s="1511" t="s">
        <v>1856</v>
      </c>
      <c r="N109" s="1502"/>
      <c r="O109" s="1061">
        <v>2</v>
      </c>
      <c r="P109" s="986">
        <v>28617774</v>
      </c>
      <c r="Q109" s="1227">
        <f t="shared" si="8"/>
        <v>167.95099111703726</v>
      </c>
      <c r="R109" s="1047"/>
    </row>
    <row r="110" spans="1:18" ht="15">
      <c r="A110" s="1509" t="s">
        <v>1856</v>
      </c>
      <c r="B110" s="1504"/>
      <c r="C110" s="1061">
        <v>12</v>
      </c>
      <c r="D110" s="986">
        <v>30605788</v>
      </c>
      <c r="E110" s="1227">
        <f t="shared" si="6"/>
        <v>189.12650398972187</v>
      </c>
      <c r="F110" s="1033"/>
      <c r="G110" s="1492" t="s">
        <v>1864</v>
      </c>
      <c r="H110" s="1504"/>
      <c r="I110" s="1082"/>
      <c r="J110" s="986" t="s">
        <v>695</v>
      </c>
      <c r="K110" s="1228"/>
      <c r="L110" s="1033"/>
      <c r="M110" s="1492" t="s">
        <v>1864</v>
      </c>
      <c r="N110" s="1504"/>
      <c r="O110" s="1082"/>
      <c r="P110" s="986" t="s">
        <v>695</v>
      </c>
      <c r="Q110" s="1227"/>
      <c r="R110" s="1047"/>
    </row>
    <row r="111" spans="1:18" ht="15">
      <c r="A111" s="1041"/>
      <c r="B111" s="593"/>
      <c r="C111" s="1153"/>
      <c r="D111" s="55"/>
      <c r="E111" s="1491"/>
      <c r="F111" s="1033"/>
      <c r="G111" s="1041"/>
      <c r="H111" s="1077"/>
      <c r="I111" s="1146"/>
      <c r="J111" s="596"/>
      <c r="K111" s="1491"/>
      <c r="L111" s="1033"/>
      <c r="M111" s="1041"/>
      <c r="N111" s="1077"/>
      <c r="O111" s="1147"/>
      <c r="P111" s="55"/>
      <c r="Q111" s="1491"/>
      <c r="R111" s="1047"/>
    </row>
    <row r="112" spans="1:18" ht="17.25">
      <c r="A112" s="1041"/>
      <c r="B112" s="1355" t="s">
        <v>1821</v>
      </c>
      <c r="C112" s="1153"/>
      <c r="D112" s="55"/>
      <c r="E112" s="1491"/>
      <c r="F112" s="1033"/>
      <c r="G112" s="1041"/>
      <c r="H112" s="1077"/>
      <c r="I112" s="1146"/>
      <c r="J112" s="596"/>
      <c r="K112" s="1491"/>
      <c r="L112" s="1033"/>
      <c r="M112" s="1041"/>
      <c r="N112" s="1077"/>
      <c r="O112" s="1147"/>
      <c r="P112" s="55"/>
      <c r="Q112" s="1491"/>
      <c r="R112" s="1047"/>
    </row>
    <row r="113" spans="1:18" ht="17.25">
      <c r="A113" s="1041"/>
      <c r="B113" s="627" t="s">
        <v>1645</v>
      </c>
      <c r="C113" s="1153"/>
      <c r="D113" s="55"/>
      <c r="E113" s="1491"/>
      <c r="F113" s="1033"/>
      <c r="G113" s="1041"/>
      <c r="H113" s="1077"/>
      <c r="I113" s="1146"/>
      <c r="J113" s="596"/>
      <c r="K113" s="1491"/>
      <c r="L113" s="1033"/>
      <c r="M113" s="1041"/>
      <c r="N113" s="1077"/>
      <c r="O113" s="1147"/>
      <c r="P113" s="55"/>
      <c r="Q113" s="1491"/>
      <c r="R113" s="1047"/>
    </row>
    <row r="114" spans="1:18" ht="17.25">
      <c r="A114" s="1041"/>
      <c r="B114" s="64" t="s">
        <v>1859</v>
      </c>
      <c r="C114" s="1153"/>
      <c r="D114" s="55"/>
      <c r="E114" s="1491"/>
      <c r="F114" s="1033"/>
      <c r="G114" s="1041"/>
      <c r="H114" s="1077"/>
      <c r="I114" s="1146"/>
      <c r="J114" s="596"/>
      <c r="K114" s="1491"/>
      <c r="L114" s="1033"/>
      <c r="M114" s="1041"/>
      <c r="N114" s="1077"/>
      <c r="O114" s="1147"/>
      <c r="P114" s="55"/>
      <c r="Q114" s="1491"/>
      <c r="R114" s="1047"/>
    </row>
    <row r="115" spans="1:18" ht="15">
      <c r="A115" s="1041"/>
      <c r="B115" s="593"/>
      <c r="C115" s="1153"/>
      <c r="D115" s="55"/>
      <c r="E115" s="1491"/>
      <c r="F115" s="1033"/>
      <c r="G115" s="1041"/>
      <c r="H115" s="1077"/>
      <c r="I115" s="1146"/>
      <c r="J115" s="596"/>
      <c r="K115" s="1491"/>
      <c r="L115" s="1033"/>
      <c r="M115" s="1041"/>
      <c r="N115" s="1077"/>
      <c r="O115" s="1147"/>
      <c r="P115" s="55"/>
      <c r="Q115" s="1491"/>
      <c r="R115" s="1047"/>
    </row>
    <row r="116" spans="1:18" ht="15">
      <c r="A116" s="1041"/>
      <c r="B116" s="593"/>
      <c r="C116" s="1153"/>
      <c r="D116" s="55"/>
      <c r="E116" s="1491"/>
      <c r="F116" s="1033"/>
      <c r="G116" s="1041"/>
      <c r="H116" s="1077"/>
      <c r="I116" s="1146"/>
      <c r="J116" s="596"/>
      <c r="K116" s="1491"/>
      <c r="L116" s="1033"/>
      <c r="M116" s="1041"/>
      <c r="N116" s="1077"/>
      <c r="O116" s="1147"/>
      <c r="P116" s="55"/>
      <c r="Q116" s="1491"/>
      <c r="R116" s="1047"/>
    </row>
    <row r="117" spans="1:18" ht="20.25">
      <c r="A117" s="1545" t="s">
        <v>712</v>
      </c>
      <c r="B117" s="1033"/>
      <c r="C117" s="1033"/>
      <c r="D117" s="1033"/>
      <c r="E117" s="1046"/>
      <c r="F117" s="1033"/>
      <c r="G117" s="989"/>
      <c r="H117" s="989"/>
      <c r="I117" s="989"/>
      <c r="J117" s="989"/>
      <c r="K117" s="989"/>
      <c r="L117" s="989"/>
      <c r="M117" s="989"/>
      <c r="N117" s="1033"/>
      <c r="O117" s="1033"/>
      <c r="P117" s="1033"/>
      <c r="Q117" s="1046"/>
      <c r="R117" s="1047"/>
    </row>
    <row r="118" spans="1:18" ht="15.75" thickBot="1">
      <c r="A118" s="1090"/>
      <c r="B118" s="1090"/>
      <c r="C118" s="1090"/>
      <c r="D118" s="1090"/>
      <c r="E118" s="1091"/>
      <c r="F118" s="1090"/>
      <c r="G118" s="990"/>
      <c r="H118" s="990"/>
      <c r="I118" s="990"/>
      <c r="J118" s="990"/>
      <c r="K118" s="990"/>
      <c r="L118" s="990"/>
      <c r="M118" s="990"/>
      <c r="N118" s="1090"/>
      <c r="O118" s="1090"/>
      <c r="P118" s="1090"/>
      <c r="Q118" s="1091"/>
      <c r="R118" s="1047"/>
    </row>
    <row r="119" spans="1:18" ht="15.75" thickTop="1">
      <c r="A119" s="1534"/>
      <c r="B119" s="1534"/>
      <c r="C119" s="1534"/>
      <c r="D119" s="1534"/>
      <c r="E119" s="1210"/>
      <c r="F119" s="1534"/>
      <c r="G119" s="989"/>
      <c r="H119" s="989"/>
      <c r="I119" s="989"/>
      <c r="J119" s="989"/>
      <c r="K119" s="989"/>
      <c r="L119" s="989"/>
      <c r="M119" s="989"/>
      <c r="N119" s="1534"/>
      <c r="O119" s="1534"/>
      <c r="P119" s="1534"/>
      <c r="Q119" s="1210"/>
      <c r="R119" s="1047"/>
    </row>
    <row r="120" spans="1:18" ht="15">
      <c r="A120" s="1041" t="s">
        <v>966</v>
      </c>
      <c r="B120" s="1042"/>
      <c r="C120" s="1042"/>
      <c r="D120" s="593"/>
      <c r="E120" s="1043"/>
      <c r="F120" s="593"/>
      <c r="G120" s="1041" t="s">
        <v>992</v>
      </c>
      <c r="H120" s="593"/>
      <c r="I120" s="593"/>
      <c r="J120" s="593"/>
      <c r="K120" s="1043"/>
      <c r="L120" s="593"/>
      <c r="M120" s="1041" t="s">
        <v>965</v>
      </c>
      <c r="N120" s="593"/>
      <c r="O120" s="593"/>
      <c r="P120" s="593"/>
      <c r="Q120" s="1043"/>
      <c r="R120" s="1047"/>
    </row>
    <row r="121" spans="1:18" ht="15">
      <c r="A121" s="991" t="s">
        <v>968</v>
      </c>
      <c r="B121" s="1048"/>
      <c r="C121" s="1092"/>
      <c r="D121" s="3150" t="s">
        <v>949</v>
      </c>
      <c r="E121" s="3150"/>
      <c r="F121" s="593"/>
      <c r="G121" s="992" t="s">
        <v>991</v>
      </c>
      <c r="H121" s="1093"/>
      <c r="I121" s="1093"/>
      <c r="J121" s="3158" t="s">
        <v>967</v>
      </c>
      <c r="K121" s="3158"/>
      <c r="L121" s="593"/>
      <c r="M121" s="991" t="s">
        <v>969</v>
      </c>
      <c r="N121" s="1094"/>
      <c r="O121" s="1092"/>
      <c r="P121" s="3150" t="s">
        <v>950</v>
      </c>
      <c r="Q121" s="3150"/>
      <c r="R121" s="1047"/>
    </row>
    <row r="122" spans="1:18" ht="15">
      <c r="A122" s="1289" t="s">
        <v>1566</v>
      </c>
      <c r="B122" s="1095"/>
      <c r="C122" s="1096">
        <v>3.68</v>
      </c>
      <c r="D122" s="1507">
        <v>1113736</v>
      </c>
      <c r="E122" s="1227">
        <f t="shared" ref="E122:E145" si="9">(D122*100/1854179)</f>
        <v>60.066261132285504</v>
      </c>
      <c r="F122" s="593"/>
      <c r="G122" s="1594" t="s">
        <v>1819</v>
      </c>
      <c r="H122" s="1137" t="s">
        <v>46</v>
      </c>
      <c r="I122" s="1097">
        <v>109.12</v>
      </c>
      <c r="J122" s="1595">
        <v>5067232</v>
      </c>
      <c r="K122" s="1228">
        <f t="shared" ref="K122:K155" si="10">(J122*100/7132151)</f>
        <v>71.047738613498225</v>
      </c>
      <c r="L122" s="593"/>
      <c r="M122" s="981" t="s">
        <v>1566</v>
      </c>
      <c r="N122" s="1098"/>
      <c r="O122" s="1096">
        <v>11.9</v>
      </c>
      <c r="P122" s="1321">
        <v>2554639</v>
      </c>
      <c r="Q122" s="1227">
        <f>(P122*100/4696877)</f>
        <v>54.390161803257783</v>
      </c>
      <c r="R122" s="1047"/>
    </row>
    <row r="123" spans="1:18" ht="15">
      <c r="A123" s="1294" t="s">
        <v>974</v>
      </c>
      <c r="B123" s="1072"/>
      <c r="C123" s="1061">
        <v>1</v>
      </c>
      <c r="D123" s="1322">
        <v>1329901</v>
      </c>
      <c r="E123" s="1227">
        <f t="shared" si="9"/>
        <v>71.724520663862549</v>
      </c>
      <c r="F123" s="593"/>
      <c r="G123" s="1582" t="s">
        <v>1242</v>
      </c>
      <c r="H123" s="1078" t="s">
        <v>46</v>
      </c>
      <c r="I123" s="1593">
        <v>90.86</v>
      </c>
      <c r="J123" s="1596">
        <v>5068321</v>
      </c>
      <c r="K123" s="1228">
        <f t="shared" si="10"/>
        <v>71.063007499420578</v>
      </c>
      <c r="L123" s="593"/>
      <c r="M123" s="993" t="s">
        <v>713</v>
      </c>
      <c r="N123" s="1099"/>
      <c r="O123" s="1060"/>
      <c r="P123" s="1002">
        <v>2874184</v>
      </c>
      <c r="Q123" s="1227">
        <f>(P123*100/4696877)</f>
        <v>61.193512199702056</v>
      </c>
      <c r="R123" s="1047"/>
    </row>
    <row r="124" spans="1:18" ht="15">
      <c r="A124" s="1295" t="s">
        <v>715</v>
      </c>
      <c r="B124" s="957" t="s">
        <v>46</v>
      </c>
      <c r="C124" s="1100">
        <v>3</v>
      </c>
      <c r="D124" s="986">
        <v>1546233</v>
      </c>
      <c r="E124" s="1227">
        <f t="shared" si="9"/>
        <v>83.391786877103016</v>
      </c>
      <c r="F124" s="593"/>
      <c r="G124" s="949" t="s">
        <v>1566</v>
      </c>
      <c r="H124" s="1072"/>
      <c r="I124" s="1101">
        <v>8</v>
      </c>
      <c r="J124" s="945">
        <v>5153538</v>
      </c>
      <c r="K124" s="1228">
        <f t="shared" si="10"/>
        <v>72.257836380637485</v>
      </c>
      <c r="L124" s="593"/>
      <c r="M124" s="1282" t="s">
        <v>1501</v>
      </c>
      <c r="N124" s="1032"/>
      <c r="O124" s="1061">
        <v>0.9</v>
      </c>
      <c r="P124" s="162">
        <v>3726773</v>
      </c>
      <c r="Q124" s="1227">
        <f>(P124*100/4696877)</f>
        <v>79.345765281909664</v>
      </c>
      <c r="R124" s="1047"/>
    </row>
    <row r="125" spans="1:18" ht="15">
      <c r="A125" s="1280" t="s">
        <v>1819</v>
      </c>
      <c r="B125" s="1078" t="s">
        <v>46</v>
      </c>
      <c r="C125" s="1061">
        <v>221.98</v>
      </c>
      <c r="D125" s="162">
        <v>1783255</v>
      </c>
      <c r="E125" s="1227">
        <f t="shared" si="9"/>
        <v>96.17491083654815</v>
      </c>
      <c r="F125" s="1033"/>
      <c r="G125" s="949" t="s">
        <v>997</v>
      </c>
      <c r="H125" s="1102" t="s">
        <v>46</v>
      </c>
      <c r="I125" s="1101">
        <v>6.02</v>
      </c>
      <c r="J125" s="945">
        <v>5391835</v>
      </c>
      <c r="K125" s="1228">
        <f t="shared" si="10"/>
        <v>75.599002320618283</v>
      </c>
      <c r="L125" s="1033"/>
      <c r="M125" s="1284" t="s">
        <v>917</v>
      </c>
      <c r="N125" s="1103"/>
      <c r="O125" s="1061">
        <v>47.4</v>
      </c>
      <c r="P125" s="162">
        <v>3834760</v>
      </c>
      <c r="Q125" s="1227">
        <f t="shared" ref="Q125:Q145" si="11">(P125*100/4696877)</f>
        <v>81.644888720739331</v>
      </c>
      <c r="R125" s="1047"/>
    </row>
    <row r="126" spans="1:18" ht="15">
      <c r="A126" s="1284" t="s">
        <v>1242</v>
      </c>
      <c r="B126" s="957" t="s">
        <v>46</v>
      </c>
      <c r="C126" s="1061">
        <v>26.6</v>
      </c>
      <c r="D126" s="162">
        <v>1784700</v>
      </c>
      <c r="E126" s="1227">
        <f t="shared" si="9"/>
        <v>96.252842902438218</v>
      </c>
      <c r="F126" s="1033"/>
      <c r="G126" s="950" t="s">
        <v>996</v>
      </c>
      <c r="H126" s="1102"/>
      <c r="I126" s="1101">
        <v>6.27</v>
      </c>
      <c r="J126" s="945">
        <v>5453449</v>
      </c>
      <c r="K126" s="1228">
        <f t="shared" si="10"/>
        <v>76.462893172059879</v>
      </c>
      <c r="L126" s="1033"/>
      <c r="M126" s="995" t="s">
        <v>714</v>
      </c>
      <c r="N126" s="1103"/>
      <c r="O126" s="1082"/>
      <c r="P126" s="986">
        <v>4357424</v>
      </c>
      <c r="Q126" s="1227">
        <f t="shared" si="11"/>
        <v>92.772793496614881</v>
      </c>
      <c r="R126" s="1047"/>
    </row>
    <row r="127" spans="1:18" ht="15">
      <c r="A127" s="1280" t="s">
        <v>1815</v>
      </c>
      <c r="B127" s="1104"/>
      <c r="C127" s="1061">
        <v>3.56</v>
      </c>
      <c r="D127" s="943">
        <v>1796575</v>
      </c>
      <c r="E127" s="1227">
        <f t="shared" si="9"/>
        <v>96.893288080600627</v>
      </c>
      <c r="F127" s="1033"/>
      <c r="G127" s="1261" t="s">
        <v>1550</v>
      </c>
      <c r="H127" s="1105"/>
      <c r="I127" s="1101">
        <v>2</v>
      </c>
      <c r="J127" s="940">
        <v>5505032</v>
      </c>
      <c r="K127" s="1228">
        <f t="shared" si="10"/>
        <v>77.186139216626231</v>
      </c>
      <c r="L127" s="1033"/>
      <c r="M127" s="994" t="s">
        <v>715</v>
      </c>
      <c r="N127" s="1072" t="s">
        <v>46</v>
      </c>
      <c r="O127" s="1070" t="s">
        <v>647</v>
      </c>
      <c r="P127" s="986">
        <v>4401648</v>
      </c>
      <c r="Q127" s="1227">
        <f t="shared" si="11"/>
        <v>93.714355304599209</v>
      </c>
      <c r="R127" s="1047"/>
    </row>
    <row r="128" spans="1:18" ht="15">
      <c r="A128" s="1286" t="s">
        <v>146</v>
      </c>
      <c r="B128" s="1069"/>
      <c r="C128" s="1070">
        <v>43.26</v>
      </c>
      <c r="D128" s="944">
        <v>1799454</v>
      </c>
      <c r="E128" s="1229">
        <f t="shared" si="9"/>
        <v>97.048558957899971</v>
      </c>
      <c r="F128" s="1033"/>
      <c r="G128" s="1235" t="s">
        <v>1271</v>
      </c>
      <c r="H128" s="1107"/>
      <c r="I128" s="1106">
        <v>11.9</v>
      </c>
      <c r="J128" s="944">
        <v>5515505</v>
      </c>
      <c r="K128" s="1229">
        <f t="shared" si="10"/>
        <v>77.332981312369853</v>
      </c>
      <c r="L128" s="1033"/>
      <c r="M128" s="1582" t="s">
        <v>1242</v>
      </c>
      <c r="N128" s="1078" t="s">
        <v>46</v>
      </c>
      <c r="O128" s="1070">
        <v>69.62</v>
      </c>
      <c r="P128" s="944">
        <v>4650725</v>
      </c>
      <c r="Q128" s="1229">
        <f t="shared" si="11"/>
        <v>99.017389639967149</v>
      </c>
      <c r="R128" s="1047"/>
    </row>
    <row r="129" spans="1:18" ht="15">
      <c r="A129" s="1284" t="s">
        <v>1806</v>
      </c>
      <c r="B129" s="963" t="s">
        <v>46</v>
      </c>
      <c r="C129" s="1061">
        <v>3.83</v>
      </c>
      <c r="D129" s="943">
        <v>1801540</v>
      </c>
      <c r="E129" s="1227">
        <f t="shared" si="9"/>
        <v>97.161061580354428</v>
      </c>
      <c r="F129" s="1033"/>
      <c r="G129" s="1240" t="s">
        <v>1828</v>
      </c>
      <c r="H129" s="957" t="s">
        <v>46</v>
      </c>
      <c r="I129" s="1101">
        <v>57.06</v>
      </c>
      <c r="J129" s="943">
        <v>5636813</v>
      </c>
      <c r="K129" s="1228">
        <f t="shared" si="10"/>
        <v>79.033842665417481</v>
      </c>
      <c r="L129" s="1033"/>
      <c r="M129" s="1226" t="s">
        <v>1819</v>
      </c>
      <c r="N129" s="957" t="s">
        <v>46</v>
      </c>
      <c r="O129" s="1061">
        <v>564.96</v>
      </c>
      <c r="P129" s="943">
        <v>4652081</v>
      </c>
      <c r="Q129" s="1227">
        <f t="shared" si="11"/>
        <v>99.046259887154804</v>
      </c>
      <c r="R129" s="1047"/>
    </row>
    <row r="130" spans="1:18" ht="15">
      <c r="A130" s="1280" t="s">
        <v>1814</v>
      </c>
      <c r="B130" s="959"/>
      <c r="C130" s="1070">
        <v>12.5</v>
      </c>
      <c r="D130" s="979">
        <v>1803709</v>
      </c>
      <c r="E130" s="1227">
        <f t="shared" si="9"/>
        <v>97.278040577527847</v>
      </c>
      <c r="F130" s="1033"/>
      <c r="G130" s="997" t="s">
        <v>716</v>
      </c>
      <c r="H130" s="1069"/>
      <c r="I130" s="1106">
        <v>11.54</v>
      </c>
      <c r="J130" s="941">
        <v>5693179</v>
      </c>
      <c r="K130" s="1228">
        <f t="shared" si="10"/>
        <v>79.824151227308562</v>
      </c>
      <c r="L130" s="1033"/>
      <c r="M130" s="1267" t="s">
        <v>1815</v>
      </c>
      <c r="N130" s="1069"/>
      <c r="O130" s="1070">
        <v>8.3000000000000007</v>
      </c>
      <c r="P130" s="979">
        <v>4655891</v>
      </c>
      <c r="Q130" s="1227">
        <f t="shared" si="11"/>
        <v>99.127377617084719</v>
      </c>
      <c r="R130" s="1047"/>
    </row>
    <row r="131" spans="1:18" ht="15">
      <c r="A131" s="1287" t="s">
        <v>1800</v>
      </c>
      <c r="B131" s="959"/>
      <c r="C131" s="1061">
        <v>0.81</v>
      </c>
      <c r="D131" s="162">
        <v>1805135</v>
      </c>
      <c r="E131" s="1227">
        <f t="shared" si="9"/>
        <v>97.35494793113287</v>
      </c>
      <c r="F131" s="1033"/>
      <c r="G131" s="942" t="s">
        <v>995</v>
      </c>
      <c r="H131" s="1108"/>
      <c r="I131" s="1101">
        <v>11.43</v>
      </c>
      <c r="J131" s="945">
        <v>5698312</v>
      </c>
      <c r="K131" s="1228">
        <f t="shared" si="10"/>
        <v>79.896121100072051</v>
      </c>
      <c r="L131" s="1033"/>
      <c r="M131" s="1280" t="s">
        <v>146</v>
      </c>
      <c r="N131" s="957"/>
      <c r="O131" s="1061">
        <v>165.85</v>
      </c>
      <c r="P131" s="943">
        <v>4658496</v>
      </c>
      <c r="Q131" s="1227">
        <f t="shared" si="11"/>
        <v>99.182840001984303</v>
      </c>
      <c r="R131" s="1047"/>
    </row>
    <row r="132" spans="1:18" ht="15">
      <c r="A132" s="1280" t="s">
        <v>1813</v>
      </c>
      <c r="B132" s="1141"/>
      <c r="C132" s="1061"/>
      <c r="D132" s="943">
        <v>1807984</v>
      </c>
      <c r="E132" s="1227">
        <f t="shared" si="9"/>
        <v>97.508600841666308</v>
      </c>
      <c r="F132" s="1033"/>
      <c r="G132" s="98" t="s">
        <v>993</v>
      </c>
      <c r="H132" s="1105"/>
      <c r="I132" s="1101">
        <v>1</v>
      </c>
      <c r="J132" s="945">
        <v>5998688</v>
      </c>
      <c r="K132" s="1228">
        <f t="shared" si="10"/>
        <v>84.107697663720245</v>
      </c>
      <c r="L132" s="1033"/>
      <c r="M132" s="1267" t="s">
        <v>1814</v>
      </c>
      <c r="N132" s="1074"/>
      <c r="O132" s="1061">
        <v>34</v>
      </c>
      <c r="P132" s="943">
        <v>4662442</v>
      </c>
      <c r="Q132" s="1228">
        <f t="shared" si="11"/>
        <v>99.266853272930078</v>
      </c>
      <c r="R132" s="1047"/>
    </row>
    <row r="133" spans="1:18" ht="15">
      <c r="A133" s="1285" t="s">
        <v>917</v>
      </c>
      <c r="B133" s="1069"/>
      <c r="C133" s="1061">
        <v>2.4</v>
      </c>
      <c r="D133" s="162">
        <v>1808208</v>
      </c>
      <c r="E133" s="1227">
        <f t="shared" si="9"/>
        <v>97.520681660184906</v>
      </c>
      <c r="F133" s="1033"/>
      <c r="G133" s="1364" t="s">
        <v>994</v>
      </c>
      <c r="H133" s="1072"/>
      <c r="I133" s="1101">
        <v>1</v>
      </c>
      <c r="J133" s="943">
        <v>6445443</v>
      </c>
      <c r="K133" s="1228">
        <f t="shared" si="10"/>
        <v>90.371656461003141</v>
      </c>
      <c r="L133" s="1033"/>
      <c r="M133" s="1261" t="s">
        <v>1813</v>
      </c>
      <c r="N133" s="956"/>
      <c r="O133" s="1061"/>
      <c r="P133" s="162">
        <v>4670720</v>
      </c>
      <c r="Q133" s="1227">
        <f t="shared" si="11"/>
        <v>99.443098041528444</v>
      </c>
      <c r="R133" s="1047"/>
    </row>
    <row r="134" spans="1:18" ht="15">
      <c r="A134" s="1288" t="s">
        <v>703</v>
      </c>
      <c r="B134" s="956"/>
      <c r="C134" s="1061">
        <v>4.5549999999999997</v>
      </c>
      <c r="D134" s="162">
        <v>1811781</v>
      </c>
      <c r="E134" s="1227">
        <f t="shared" si="9"/>
        <v>97.713381502001695</v>
      </c>
      <c r="F134" s="1033"/>
      <c r="G134" s="1280" t="s">
        <v>1815</v>
      </c>
      <c r="H134" s="1104"/>
      <c r="I134" s="1101">
        <v>15</v>
      </c>
      <c r="J134" s="943">
        <v>6780376</v>
      </c>
      <c r="K134" s="1228">
        <f t="shared" si="10"/>
        <v>95.06775725864469</v>
      </c>
      <c r="L134" s="1033"/>
      <c r="M134" s="1281" t="s">
        <v>926</v>
      </c>
      <c r="N134" s="969" t="s">
        <v>46</v>
      </c>
      <c r="O134" s="1061">
        <v>2.2799999999999998</v>
      </c>
      <c r="P134" s="162">
        <v>4683319</v>
      </c>
      <c r="Q134" s="1227">
        <f t="shared" si="11"/>
        <v>99.711340109608997</v>
      </c>
      <c r="R134" s="1047"/>
    </row>
    <row r="135" spans="1:18" ht="15">
      <c r="A135" s="1292" t="s">
        <v>926</v>
      </c>
      <c r="B135" s="969" t="s">
        <v>46</v>
      </c>
      <c r="C135" s="1061">
        <v>1.1000000000000001</v>
      </c>
      <c r="D135" s="162">
        <v>1818992</v>
      </c>
      <c r="E135" s="1227">
        <f t="shared" si="9"/>
        <v>98.102286780294676</v>
      </c>
      <c r="F135" s="1033"/>
      <c r="G135" s="1363" t="s">
        <v>146</v>
      </c>
      <c r="H135" s="1105"/>
      <c r="I135" s="1101">
        <v>220.17</v>
      </c>
      <c r="J135" s="945">
        <v>6895799</v>
      </c>
      <c r="K135" s="1228">
        <f t="shared" si="10"/>
        <v>96.686104935243236</v>
      </c>
      <c r="L135" s="1033"/>
      <c r="M135" s="98" t="s">
        <v>703</v>
      </c>
      <c r="N135" s="1066"/>
      <c r="O135" s="1061">
        <v>8.0809999999999995</v>
      </c>
      <c r="P135" s="162">
        <v>4684346</v>
      </c>
      <c r="Q135" s="1227">
        <f t="shared" si="11"/>
        <v>99.733205702427384</v>
      </c>
      <c r="R135" s="1047"/>
    </row>
    <row r="136" spans="1:18" ht="15">
      <c r="A136" s="1280" t="s">
        <v>1550</v>
      </c>
      <c r="B136" s="959"/>
      <c r="C136" s="1060">
        <v>1</v>
      </c>
      <c r="D136" s="162">
        <v>1827218</v>
      </c>
      <c r="E136" s="1227">
        <f t="shared" si="9"/>
        <v>98.545933267500061</v>
      </c>
      <c r="F136" s="1033"/>
      <c r="G136" s="1362" t="s">
        <v>873</v>
      </c>
      <c r="H136" s="1102"/>
      <c r="I136" s="1101">
        <v>1</v>
      </c>
      <c r="J136" s="943">
        <v>6901409</v>
      </c>
      <c r="K136" s="1228">
        <f t="shared" si="10"/>
        <v>96.764762832418995</v>
      </c>
      <c r="L136" s="1033"/>
      <c r="M136" s="948" t="s">
        <v>709</v>
      </c>
      <c r="N136" s="1136"/>
      <c r="O136" s="1061"/>
      <c r="P136" s="162">
        <v>4694087</v>
      </c>
      <c r="Q136" s="1227">
        <f t="shared" si="11"/>
        <v>99.940598827689115</v>
      </c>
      <c r="R136" s="1047"/>
    </row>
    <row r="137" spans="1:18" ht="15">
      <c r="A137" s="1280" t="s">
        <v>1849</v>
      </c>
      <c r="B137" s="957" t="s">
        <v>46</v>
      </c>
      <c r="C137" s="1061">
        <v>1</v>
      </c>
      <c r="D137" s="940">
        <v>1827243</v>
      </c>
      <c r="E137" s="1227">
        <f t="shared" si="9"/>
        <v>98.547281573138306</v>
      </c>
      <c r="F137" s="1033"/>
      <c r="G137" s="1226" t="s">
        <v>1814</v>
      </c>
      <c r="H137" s="1066"/>
      <c r="I137" s="1101">
        <v>47.75</v>
      </c>
      <c r="J137" s="945">
        <v>6906416</v>
      </c>
      <c r="K137" s="1228">
        <f t="shared" si="10"/>
        <v>96.834966057224534</v>
      </c>
      <c r="L137" s="1033"/>
      <c r="M137" s="1261" t="s">
        <v>1818</v>
      </c>
      <c r="N137" s="961"/>
      <c r="O137" s="1079" t="s">
        <v>647</v>
      </c>
      <c r="P137" s="141">
        <v>4695795</v>
      </c>
      <c r="Q137" s="1227">
        <f t="shared" si="11"/>
        <v>99.97696341632961</v>
      </c>
      <c r="R137" s="1047"/>
    </row>
    <row r="138" spans="1:18" ht="15">
      <c r="A138" s="1286" t="s">
        <v>1808</v>
      </c>
      <c r="B138" s="957" t="s">
        <v>46</v>
      </c>
      <c r="C138" s="1061">
        <v>0.56000000000000005</v>
      </c>
      <c r="D138" s="162">
        <v>1828850</v>
      </c>
      <c r="E138" s="1228">
        <f t="shared" si="9"/>
        <v>98.63395065956415</v>
      </c>
      <c r="F138" s="1033"/>
      <c r="G138" s="1266" t="s">
        <v>1806</v>
      </c>
      <c r="H138" s="1080" t="s">
        <v>46</v>
      </c>
      <c r="I138" s="1101">
        <v>13.03</v>
      </c>
      <c r="J138" s="943">
        <v>6910098</v>
      </c>
      <c r="K138" s="1228">
        <f t="shared" si="10"/>
        <v>96.886591436440426</v>
      </c>
      <c r="L138" s="1033"/>
      <c r="M138" s="99" t="s">
        <v>1804</v>
      </c>
      <c r="N138" s="959"/>
      <c r="O138" s="1060"/>
      <c r="P138" s="162">
        <v>4696877</v>
      </c>
      <c r="Q138" s="1228">
        <f t="shared" si="11"/>
        <v>100</v>
      </c>
      <c r="R138" s="1047"/>
    </row>
    <row r="139" spans="1:18" ht="15">
      <c r="A139" s="1288" t="s">
        <v>1804</v>
      </c>
      <c r="B139" s="1187"/>
      <c r="C139" s="1060"/>
      <c r="D139" s="162">
        <v>1829710</v>
      </c>
      <c r="E139" s="1227">
        <f t="shared" si="9"/>
        <v>98.680332373519491</v>
      </c>
      <c r="F139" s="1033"/>
      <c r="G139" s="1280" t="s">
        <v>1813</v>
      </c>
      <c r="H139" s="969"/>
      <c r="I139" s="1101">
        <v>3.19</v>
      </c>
      <c r="J139" s="945">
        <v>6920432</v>
      </c>
      <c r="K139" s="1228">
        <f t="shared" si="10"/>
        <v>97.031484611024084</v>
      </c>
      <c r="L139" s="1033"/>
      <c r="M139" s="99" t="s">
        <v>746</v>
      </c>
      <c r="N139" s="957"/>
      <c r="O139" s="1061"/>
      <c r="P139" s="162">
        <v>4696877</v>
      </c>
      <c r="Q139" s="1227">
        <f t="shared" si="11"/>
        <v>100</v>
      </c>
      <c r="R139" s="1047"/>
    </row>
    <row r="140" spans="1:18" ht="15">
      <c r="A140" s="1280" t="s">
        <v>1818</v>
      </c>
      <c r="B140" s="1234"/>
      <c r="C140" s="1061"/>
      <c r="D140" s="162">
        <v>1830076</v>
      </c>
      <c r="E140" s="1227">
        <f t="shared" si="9"/>
        <v>98.700071568063279</v>
      </c>
      <c r="F140" s="1033"/>
      <c r="G140" s="1361" t="s">
        <v>926</v>
      </c>
      <c r="H140" s="1072" t="s">
        <v>46</v>
      </c>
      <c r="I140" s="1101">
        <v>6.31</v>
      </c>
      <c r="J140" s="945">
        <v>6947060</v>
      </c>
      <c r="K140" s="1228">
        <f t="shared" si="10"/>
        <v>97.404836212805932</v>
      </c>
      <c r="L140" s="1033"/>
      <c r="M140" s="1280" t="s">
        <v>1808</v>
      </c>
      <c r="N140" s="957" t="s">
        <v>46</v>
      </c>
      <c r="O140" s="1061">
        <v>1.6</v>
      </c>
      <c r="P140" s="162">
        <v>4696940</v>
      </c>
      <c r="Q140" s="1227">
        <f t="shared" si="11"/>
        <v>100.00134131679411</v>
      </c>
      <c r="R140" s="1047"/>
    </row>
    <row r="141" spans="1:18" ht="15">
      <c r="A141" s="1291" t="s">
        <v>1816</v>
      </c>
      <c r="B141" s="964" t="s">
        <v>46</v>
      </c>
      <c r="C141" s="1061">
        <v>1</v>
      </c>
      <c r="D141" s="162">
        <v>1832824</v>
      </c>
      <c r="E141" s="1227">
        <f t="shared" si="9"/>
        <v>98.848277323818252</v>
      </c>
      <c r="F141" s="1033"/>
      <c r="G141" s="1287" t="s">
        <v>1800</v>
      </c>
      <c r="H141" s="1077"/>
      <c r="I141" s="1101">
        <v>5</v>
      </c>
      <c r="J141" s="945">
        <v>6958134</v>
      </c>
      <c r="K141" s="1228">
        <f t="shared" si="10"/>
        <v>97.560104938888699</v>
      </c>
      <c r="L141" s="1033"/>
      <c r="M141" s="1263" t="s">
        <v>1800</v>
      </c>
      <c r="N141" s="1111"/>
      <c r="O141" s="1061">
        <v>0.68700000000000006</v>
      </c>
      <c r="P141" s="162">
        <v>4696947</v>
      </c>
      <c r="Q141" s="1227">
        <f t="shared" si="11"/>
        <v>100.00149035199347</v>
      </c>
      <c r="R141" s="1047"/>
    </row>
    <row r="142" spans="1:18" ht="15">
      <c r="A142" s="1280" t="s">
        <v>1817</v>
      </c>
      <c r="B142" s="1109"/>
      <c r="C142" s="1060"/>
      <c r="D142" s="162">
        <v>1835520</v>
      </c>
      <c r="E142" s="1227">
        <f t="shared" si="9"/>
        <v>98.993678603845694</v>
      </c>
      <c r="F142" s="1033"/>
      <c r="G142" s="1360" t="s">
        <v>917</v>
      </c>
      <c r="H142" s="1072"/>
      <c r="I142" s="1101">
        <v>8.4499999999999993</v>
      </c>
      <c r="J142" s="945">
        <v>6967148</v>
      </c>
      <c r="K142" s="1228">
        <f t="shared" si="10"/>
        <v>97.686490372960421</v>
      </c>
      <c r="L142" s="1033"/>
      <c r="M142" s="1261" t="s">
        <v>1550</v>
      </c>
      <c r="N142" s="1069"/>
      <c r="O142" s="1060">
        <v>1</v>
      </c>
      <c r="P142" s="162">
        <v>4697029</v>
      </c>
      <c r="Q142" s="1227">
        <f t="shared" si="11"/>
        <v>100.00323619290009</v>
      </c>
      <c r="R142" s="1047"/>
    </row>
    <row r="143" spans="1:18" ht="15">
      <c r="A143" s="1280" t="s">
        <v>1809</v>
      </c>
      <c r="B143" s="1111" t="s">
        <v>46</v>
      </c>
      <c r="C143" s="1061">
        <v>0.48399999999999999</v>
      </c>
      <c r="D143" s="162">
        <v>1849799</v>
      </c>
      <c r="E143" s="1227">
        <f t="shared" si="9"/>
        <v>99.763776852180939</v>
      </c>
      <c r="F143" s="1033"/>
      <c r="G143" s="1288" t="s">
        <v>703</v>
      </c>
      <c r="H143" s="1077"/>
      <c r="I143" s="1101">
        <v>4.03</v>
      </c>
      <c r="J143" s="943">
        <v>6972597</v>
      </c>
      <c r="K143" s="1228">
        <f t="shared" si="10"/>
        <v>97.762890886634338</v>
      </c>
      <c r="L143" s="1033"/>
      <c r="M143" s="1269" t="s">
        <v>1816</v>
      </c>
      <c r="N143" s="964" t="s">
        <v>46</v>
      </c>
      <c r="O143" s="1061">
        <v>1</v>
      </c>
      <c r="P143" s="162">
        <v>4697163</v>
      </c>
      <c r="Q143" s="1227">
        <f t="shared" si="11"/>
        <v>100.00608915243043</v>
      </c>
      <c r="R143" s="1047"/>
    </row>
    <row r="144" spans="1:18" ht="15">
      <c r="A144" s="1284" t="s">
        <v>1501</v>
      </c>
      <c r="B144" s="1064"/>
      <c r="C144" s="1061">
        <v>0.7</v>
      </c>
      <c r="D144" s="162">
        <v>1851521</v>
      </c>
      <c r="E144" s="1227">
        <f t="shared" si="9"/>
        <v>99.856648144542675</v>
      </c>
      <c r="F144" s="1033"/>
      <c r="G144" s="1360" t="s">
        <v>1501</v>
      </c>
      <c r="H144" s="1113"/>
      <c r="I144" s="1101">
        <v>2.54</v>
      </c>
      <c r="J144" s="945">
        <v>7054742</v>
      </c>
      <c r="K144" s="1228">
        <f t="shared" si="10"/>
        <v>98.91464720811436</v>
      </c>
      <c r="L144" s="1033"/>
      <c r="M144" s="1261" t="s">
        <v>1849</v>
      </c>
      <c r="N144" s="1111" t="s">
        <v>46</v>
      </c>
      <c r="O144" s="1061">
        <v>1</v>
      </c>
      <c r="P144" s="162">
        <v>4697241</v>
      </c>
      <c r="Q144" s="1227">
        <f t="shared" si="11"/>
        <v>100.00774983036601</v>
      </c>
      <c r="R144" s="1047"/>
    </row>
    <row r="145" spans="1:18" ht="15">
      <c r="A145" s="1288" t="s">
        <v>746</v>
      </c>
      <c r="B145" s="1264"/>
      <c r="C145" s="1061"/>
      <c r="D145" s="162">
        <v>1854179</v>
      </c>
      <c r="E145" s="1227">
        <f t="shared" si="9"/>
        <v>100</v>
      </c>
      <c r="F145" s="1033"/>
      <c r="G145" s="946" t="s">
        <v>872</v>
      </c>
      <c r="H145" s="1114"/>
      <c r="I145" s="1101">
        <v>1.34</v>
      </c>
      <c r="J145" s="943">
        <v>7054742</v>
      </c>
      <c r="K145" s="1228">
        <f t="shared" si="10"/>
        <v>98.91464720811436</v>
      </c>
      <c r="L145" s="1033"/>
      <c r="M145" s="1262" t="s">
        <v>1806</v>
      </c>
      <c r="N145" s="963" t="s">
        <v>46</v>
      </c>
      <c r="O145" s="1061">
        <v>0.33</v>
      </c>
      <c r="P145" s="162">
        <v>4699489</v>
      </c>
      <c r="Q145" s="1227">
        <f t="shared" si="11"/>
        <v>100.05561142009893</v>
      </c>
      <c r="R145" s="1047"/>
    </row>
    <row r="146" spans="1:18" ht="15">
      <c r="A146" s="1280" t="s">
        <v>1812</v>
      </c>
      <c r="B146" s="593"/>
      <c r="C146" s="1060"/>
      <c r="D146" s="162">
        <v>1884377</v>
      </c>
      <c r="E146" s="1227">
        <f>(D146*100/1854179)</f>
        <v>101.62864534653882</v>
      </c>
      <c r="F146" s="1033"/>
      <c r="G146" s="1261" t="s">
        <v>1809</v>
      </c>
      <c r="H146" s="1072" t="s">
        <v>46</v>
      </c>
      <c r="I146" s="1101">
        <v>1.92</v>
      </c>
      <c r="J146" s="945">
        <v>7055921</v>
      </c>
      <c r="K146" s="1228">
        <f t="shared" si="10"/>
        <v>98.931177985435255</v>
      </c>
      <c r="L146" s="1033"/>
      <c r="M146" s="1222" t="s">
        <v>1809</v>
      </c>
      <c r="N146" s="1077" t="s">
        <v>46</v>
      </c>
      <c r="O146" s="1061">
        <v>1.3</v>
      </c>
      <c r="P146" s="162">
        <v>4704120</v>
      </c>
      <c r="Q146" s="1227">
        <f>(P146*100/4696877)</f>
        <v>100.15420884983789</v>
      </c>
      <c r="R146" s="1047"/>
    </row>
    <row r="147" spans="1:18" ht="15">
      <c r="A147" s="1296" t="s">
        <v>873</v>
      </c>
      <c r="B147" s="959"/>
      <c r="C147" s="1060"/>
      <c r="D147" s="986" t="s">
        <v>694</v>
      </c>
      <c r="E147" s="1055"/>
      <c r="F147" s="1033"/>
      <c r="G147" s="1280" t="s">
        <v>1818</v>
      </c>
      <c r="H147" s="1067"/>
      <c r="I147" s="1101">
        <v>13.6</v>
      </c>
      <c r="J147" s="945">
        <v>7067930</v>
      </c>
      <c r="K147" s="1228">
        <f t="shared" si="10"/>
        <v>99.09955636104732</v>
      </c>
      <c r="L147" s="1033"/>
      <c r="M147" s="1226" t="s">
        <v>1817</v>
      </c>
      <c r="N147" s="959"/>
      <c r="O147" s="1061"/>
      <c r="P147" s="162">
        <v>4713012</v>
      </c>
      <c r="Q147" s="1227">
        <f>(P147*100/4696877)</f>
        <v>100.3435261344932</v>
      </c>
      <c r="R147" s="1047"/>
    </row>
    <row r="148" spans="1:18" ht="15">
      <c r="A148" s="1297" t="s">
        <v>709</v>
      </c>
      <c r="B148" s="1116"/>
      <c r="C148" s="1061"/>
      <c r="D148" s="986" t="s">
        <v>694</v>
      </c>
      <c r="E148" s="1055"/>
      <c r="F148" s="1033"/>
      <c r="G148" s="1359" t="s">
        <v>1808</v>
      </c>
      <c r="H148" s="1080" t="s">
        <v>46</v>
      </c>
      <c r="I148" s="1101">
        <v>3.37</v>
      </c>
      <c r="J148" s="945">
        <v>7076758</v>
      </c>
      <c r="K148" s="1228">
        <f t="shared" si="10"/>
        <v>99.223333886228716</v>
      </c>
      <c r="L148" s="1033"/>
      <c r="M148" s="1261" t="s">
        <v>1812</v>
      </c>
      <c r="N148" s="1084"/>
      <c r="O148" s="1060"/>
      <c r="P148" s="162">
        <v>4811695</v>
      </c>
      <c r="Q148" s="1227">
        <f>(P148*100/4696877)</f>
        <v>102.44456050264888</v>
      </c>
      <c r="R148" s="1047"/>
    </row>
    <row r="149" spans="1:18" ht="15">
      <c r="A149" s="1288" t="s">
        <v>872</v>
      </c>
      <c r="B149" s="957"/>
      <c r="C149" s="1061"/>
      <c r="D149" s="986" t="s">
        <v>694</v>
      </c>
      <c r="E149" s="1055"/>
      <c r="F149" s="1033"/>
      <c r="G149" s="1358" t="s">
        <v>1804</v>
      </c>
      <c r="H149" s="1077"/>
      <c r="I149" s="1101">
        <v>1</v>
      </c>
      <c r="J149" s="943">
        <v>7090050</v>
      </c>
      <c r="K149" s="1228">
        <f t="shared" si="10"/>
        <v>99.409701224777777</v>
      </c>
      <c r="L149" s="1033"/>
      <c r="M149" s="99" t="s">
        <v>873</v>
      </c>
      <c r="N149" s="1080"/>
      <c r="O149" s="1101"/>
      <c r="P149" s="986" t="s">
        <v>694</v>
      </c>
      <c r="Q149" s="1055"/>
      <c r="R149" s="1047"/>
    </row>
    <row r="150" spans="1:18" ht="15">
      <c r="A150" s="1298" t="s">
        <v>713</v>
      </c>
      <c r="B150" s="959"/>
      <c r="C150" s="1060"/>
      <c r="D150" s="986" t="s">
        <v>694</v>
      </c>
      <c r="E150" s="1055"/>
      <c r="F150" s="1033"/>
      <c r="G150" s="1261" t="s">
        <v>1849</v>
      </c>
      <c r="H150" s="1072" t="s">
        <v>46</v>
      </c>
      <c r="I150" s="1101">
        <v>1</v>
      </c>
      <c r="J150" s="945">
        <v>7091171</v>
      </c>
      <c r="K150" s="1228">
        <f t="shared" si="10"/>
        <v>99.425418783197387</v>
      </c>
      <c r="L150" s="1033"/>
      <c r="M150" s="99" t="s">
        <v>872</v>
      </c>
      <c r="N150" s="1077"/>
      <c r="O150" s="1101"/>
      <c r="P150" s="986" t="s">
        <v>694</v>
      </c>
      <c r="Q150" s="1055"/>
      <c r="R150" s="1047"/>
    </row>
    <row r="151" spans="1:18" ht="15">
      <c r="A151" s="1299" t="s">
        <v>717</v>
      </c>
      <c r="B151" s="1116"/>
      <c r="C151" s="1061"/>
      <c r="D151" s="986" t="s">
        <v>694</v>
      </c>
      <c r="E151" s="1055"/>
      <c r="F151" s="1033"/>
      <c r="G151" s="1261" t="s">
        <v>1812</v>
      </c>
      <c r="H151" s="1366"/>
      <c r="I151" s="1101">
        <v>1</v>
      </c>
      <c r="J151" s="945">
        <v>7100538</v>
      </c>
      <c r="K151" s="1228">
        <f t="shared" si="10"/>
        <v>99.55675363575449</v>
      </c>
      <c r="L151" s="1033"/>
      <c r="M151" s="98" t="s">
        <v>717</v>
      </c>
      <c r="N151" s="957"/>
      <c r="O151" s="1101"/>
      <c r="P151" s="986" t="s">
        <v>694</v>
      </c>
      <c r="Q151" s="1055"/>
      <c r="R151" s="1047"/>
    </row>
    <row r="152" spans="1:18" ht="15">
      <c r="A152" s="999" t="s">
        <v>900</v>
      </c>
      <c r="B152" s="957"/>
      <c r="C152" s="1061"/>
      <c r="D152" s="986" t="s">
        <v>694</v>
      </c>
      <c r="E152" s="1055"/>
      <c r="F152" s="1033"/>
      <c r="G152" s="1357" t="s">
        <v>1816</v>
      </c>
      <c r="H152" s="1072" t="s">
        <v>46</v>
      </c>
      <c r="I152" s="1101">
        <v>1</v>
      </c>
      <c r="J152" s="945">
        <v>7115621</v>
      </c>
      <c r="K152" s="1228">
        <f t="shared" si="10"/>
        <v>99.768232613134529</v>
      </c>
      <c r="L152" s="1033"/>
      <c r="M152" s="999" t="s">
        <v>943</v>
      </c>
      <c r="N152" s="959"/>
      <c r="O152" s="1101"/>
      <c r="P152" s="986" t="s">
        <v>694</v>
      </c>
      <c r="Q152" s="1055"/>
      <c r="R152" s="1047"/>
    </row>
    <row r="153" spans="1:18" ht="15">
      <c r="A153" s="999" t="s">
        <v>943</v>
      </c>
      <c r="B153" s="959"/>
      <c r="C153" s="1060"/>
      <c r="D153" s="986" t="s">
        <v>694</v>
      </c>
      <c r="E153" s="1055"/>
      <c r="F153" s="1033"/>
      <c r="G153" s="1226" t="s">
        <v>1817</v>
      </c>
      <c r="H153" s="1074"/>
      <c r="I153" s="1101">
        <v>3</v>
      </c>
      <c r="J153" s="945">
        <v>7120649</v>
      </c>
      <c r="K153" s="1228">
        <f t="shared" si="10"/>
        <v>99.838730279266386</v>
      </c>
      <c r="L153" s="1033"/>
      <c r="M153" s="942" t="s">
        <v>995</v>
      </c>
      <c r="N153" s="959"/>
      <c r="O153" s="1101"/>
      <c r="P153" s="986" t="s">
        <v>694</v>
      </c>
      <c r="Q153" s="1055"/>
      <c r="R153" s="1047"/>
    </row>
    <row r="154" spans="1:18" ht="15">
      <c r="A154" s="942" t="s">
        <v>995</v>
      </c>
      <c r="B154" s="959"/>
      <c r="C154" s="1060"/>
      <c r="D154" s="986" t="s">
        <v>694</v>
      </c>
      <c r="E154" s="1055"/>
      <c r="F154" s="1033"/>
      <c r="G154" s="950" t="s">
        <v>746</v>
      </c>
      <c r="H154" s="1072"/>
      <c r="I154" s="1101"/>
      <c r="J154" s="945">
        <v>7132151</v>
      </c>
      <c r="K154" s="1228">
        <f t="shared" si="10"/>
        <v>100</v>
      </c>
      <c r="L154" s="1033"/>
      <c r="M154" s="1001" t="s">
        <v>924</v>
      </c>
      <c r="N154" s="1074"/>
      <c r="O154" s="1101"/>
      <c r="P154" s="986" t="s">
        <v>694</v>
      </c>
      <c r="Q154" s="1055"/>
      <c r="R154" s="1047"/>
    </row>
    <row r="155" spans="1:18" ht="15">
      <c r="A155" s="1001" t="s">
        <v>924</v>
      </c>
      <c r="B155" s="1116"/>
      <c r="C155" s="1061"/>
      <c r="D155" s="986" t="s">
        <v>694</v>
      </c>
      <c r="E155" s="1055"/>
      <c r="F155" s="1033"/>
      <c r="G155" s="1000" t="s">
        <v>943</v>
      </c>
      <c r="H155" s="1365"/>
      <c r="I155" s="1101">
        <v>6</v>
      </c>
      <c r="J155" s="943">
        <v>64131508</v>
      </c>
      <c r="K155" s="1073">
        <f t="shared" si="10"/>
        <v>899.18887023003299</v>
      </c>
      <c r="L155" s="1033"/>
      <c r="M155" s="1003" t="s">
        <v>974</v>
      </c>
      <c r="N155" s="1074"/>
      <c r="O155" s="1101"/>
      <c r="P155" s="986" t="s">
        <v>694</v>
      </c>
      <c r="Q155" s="1055"/>
      <c r="R155" s="1047"/>
    </row>
    <row r="156" spans="1:18" ht="15">
      <c r="A156" s="1004" t="s">
        <v>1271</v>
      </c>
      <c r="B156" s="1118"/>
      <c r="C156" s="1061"/>
      <c r="D156" s="986" t="s">
        <v>694</v>
      </c>
      <c r="E156" s="1119"/>
      <c r="F156" s="1033"/>
      <c r="G156" s="1005" t="s">
        <v>713</v>
      </c>
      <c r="H156" s="1120"/>
      <c r="I156" s="1101"/>
      <c r="J156" s="1006" t="s">
        <v>694</v>
      </c>
      <c r="K156" s="1119"/>
      <c r="L156" s="1033"/>
      <c r="M156" s="1004" t="s">
        <v>1271</v>
      </c>
      <c r="N156" s="1121"/>
      <c r="O156" s="1101"/>
      <c r="P156" s="986" t="s">
        <v>694</v>
      </c>
      <c r="Q156" s="1119"/>
      <c r="R156" s="1047"/>
    </row>
    <row r="157" spans="1:18" ht="15">
      <c r="A157" s="995" t="s">
        <v>714</v>
      </c>
      <c r="B157" s="1122"/>
      <c r="C157" s="1061"/>
      <c r="D157" s="986" t="s">
        <v>694</v>
      </c>
      <c r="E157" s="1073"/>
      <c r="F157" s="1033"/>
      <c r="G157" s="1003" t="s">
        <v>974</v>
      </c>
      <c r="H157" s="1117"/>
      <c r="I157" s="1101"/>
      <c r="J157" s="1002" t="s">
        <v>694</v>
      </c>
      <c r="K157" s="1073"/>
      <c r="L157" s="1033"/>
      <c r="M157" s="99" t="s">
        <v>871</v>
      </c>
      <c r="N157" s="1107"/>
      <c r="O157" s="1101"/>
      <c r="P157" s="986" t="s">
        <v>694</v>
      </c>
      <c r="Q157" s="1073"/>
      <c r="R157" s="1047"/>
    </row>
    <row r="158" spans="1:18" ht="15">
      <c r="A158" s="593"/>
      <c r="B158" s="593"/>
      <c r="C158" s="593"/>
      <c r="D158" s="55"/>
      <c r="E158" s="1086"/>
      <c r="F158" s="1033"/>
      <c r="G158" s="56"/>
      <c r="H158" s="603"/>
      <c r="I158" s="603"/>
      <c r="J158" s="55"/>
      <c r="K158" s="1086"/>
      <c r="L158" s="1033"/>
      <c r="M158" s="603"/>
      <c r="N158" s="603"/>
      <c r="O158" s="603"/>
      <c r="P158" s="55"/>
      <c r="Q158" s="1087"/>
      <c r="R158" s="1047"/>
    </row>
    <row r="159" spans="1:18" ht="17.25">
      <c r="A159" s="1044"/>
      <c r="B159" s="1355" t="s">
        <v>1821</v>
      </c>
      <c r="C159" s="1044"/>
      <c r="D159" s="1088"/>
      <c r="E159" s="1086"/>
      <c r="F159" s="593"/>
      <c r="G159" s="1356"/>
      <c r="H159" s="1356"/>
      <c r="I159" s="1356"/>
      <c r="J159" s="1356"/>
      <c r="K159" s="1356"/>
      <c r="L159" s="1356"/>
      <c r="M159" s="1356"/>
      <c r="N159" s="593"/>
      <c r="O159" s="593"/>
      <c r="P159" s="1089"/>
      <c r="Q159" s="1087"/>
      <c r="R159" s="1047"/>
    </row>
    <row r="160" spans="1:18" ht="17.25">
      <c r="A160" s="1044"/>
      <c r="B160" s="627" t="s">
        <v>1645</v>
      </c>
      <c r="C160" s="1044"/>
      <c r="D160" s="1088"/>
      <c r="E160" s="1086"/>
      <c r="F160" s="593"/>
      <c r="G160" s="989"/>
      <c r="H160" s="989"/>
      <c r="I160" s="989"/>
      <c r="J160" s="989"/>
      <c r="K160" s="989"/>
      <c r="L160" s="989"/>
      <c r="M160" s="989"/>
      <c r="N160" s="593"/>
      <c r="O160" s="593"/>
      <c r="P160" s="1089"/>
      <c r="Q160" s="1087"/>
      <c r="R160" s="1047"/>
    </row>
    <row r="161" spans="1:18" ht="17.25">
      <c r="A161" s="1044"/>
      <c r="B161" s="64" t="s">
        <v>1859</v>
      </c>
      <c r="C161" s="1044"/>
      <c r="D161" s="1088"/>
      <c r="E161" s="1086"/>
      <c r="F161" s="593"/>
      <c r="G161" s="989"/>
      <c r="H161" s="989"/>
      <c r="I161" s="989"/>
      <c r="J161" s="989"/>
      <c r="K161" s="989"/>
      <c r="L161" s="989"/>
      <c r="M161" s="989"/>
      <c r="N161" s="593"/>
      <c r="O161" s="593"/>
      <c r="P161" s="1089"/>
      <c r="Q161" s="1087"/>
      <c r="R161" s="1047"/>
    </row>
    <row r="162" spans="1:18" ht="15">
      <c r="A162" s="1042"/>
      <c r="B162" s="1042"/>
      <c r="C162" s="1042"/>
      <c r="D162" s="593"/>
      <c r="E162" s="1043"/>
      <c r="F162" s="593"/>
      <c r="G162" s="989"/>
      <c r="H162" s="989"/>
      <c r="I162" s="989"/>
      <c r="J162" s="989"/>
      <c r="K162" s="989"/>
      <c r="L162" s="989"/>
      <c r="M162" s="989"/>
      <c r="N162" s="1033"/>
      <c r="O162" s="1033"/>
      <c r="P162" s="1033"/>
      <c r="Q162" s="1046"/>
      <c r="R162" s="1047"/>
    </row>
    <row r="163" spans="1:18" ht="15">
      <c r="A163" s="1042"/>
      <c r="B163" s="1042"/>
      <c r="C163" s="1042"/>
      <c r="D163" s="593"/>
      <c r="E163" s="1043"/>
      <c r="F163" s="593"/>
      <c r="G163" s="989"/>
      <c r="H163" s="989"/>
      <c r="I163" s="989"/>
      <c r="J163" s="989"/>
      <c r="K163" s="989"/>
      <c r="L163" s="989"/>
      <c r="M163" s="989"/>
      <c r="N163" s="1033"/>
      <c r="O163" s="1033"/>
      <c r="P163" s="1033"/>
      <c r="Q163" s="1046"/>
      <c r="R163" s="1047"/>
    </row>
    <row r="164" spans="1:18" ht="20.25">
      <c r="A164" s="1545" t="s">
        <v>990</v>
      </c>
      <c r="B164" s="1033"/>
      <c r="C164" s="1033"/>
      <c r="D164" s="1033"/>
      <c r="E164" s="1046"/>
      <c r="F164" s="1033"/>
      <c r="G164" s="989"/>
      <c r="H164" s="989"/>
      <c r="I164" s="989"/>
      <c r="J164" s="989"/>
      <c r="K164" s="989"/>
      <c r="L164" s="989"/>
      <c r="M164" s="989"/>
      <c r="N164" s="1033"/>
      <c r="O164" s="1033"/>
      <c r="P164" s="1033"/>
      <c r="Q164" s="1046"/>
      <c r="R164" s="1047"/>
    </row>
    <row r="165" spans="1:18" ht="15.75" thickBot="1">
      <c r="A165" s="1090"/>
      <c r="B165" s="1090"/>
      <c r="C165" s="1090"/>
      <c r="D165" s="1090"/>
      <c r="E165" s="1091"/>
      <c r="F165" s="1090"/>
      <c r="G165" s="990"/>
      <c r="H165" s="990"/>
      <c r="I165" s="990"/>
      <c r="J165" s="990"/>
      <c r="K165" s="990"/>
      <c r="L165" s="990"/>
      <c r="M165" s="990"/>
      <c r="N165" s="1090"/>
      <c r="O165" s="1090"/>
      <c r="P165" s="1090"/>
      <c r="Q165" s="1091"/>
      <c r="R165" s="1047"/>
    </row>
    <row r="166" spans="1:18" ht="15.75" thickTop="1">
      <c r="A166" s="1534"/>
      <c r="B166" s="1534"/>
      <c r="C166" s="1534"/>
      <c r="D166" s="1534"/>
      <c r="E166" s="1210"/>
      <c r="F166" s="1534"/>
      <c r="G166" s="989"/>
      <c r="H166" s="989"/>
      <c r="I166" s="989"/>
      <c r="J166" s="989"/>
      <c r="K166" s="989"/>
      <c r="L166" s="989"/>
      <c r="M166" s="989"/>
      <c r="N166" s="1534"/>
      <c r="O166" s="1534"/>
      <c r="P166" s="1534"/>
      <c r="Q166" s="1210"/>
      <c r="R166" s="1047"/>
    </row>
    <row r="167" spans="1:18" ht="15">
      <c r="A167" s="1041" t="s">
        <v>970</v>
      </c>
      <c r="B167" s="593"/>
      <c r="C167" s="593"/>
      <c r="D167" s="55"/>
      <c r="E167" s="1086"/>
      <c r="F167" s="1033"/>
      <c r="G167" s="1041" t="s">
        <v>962</v>
      </c>
      <c r="H167" s="593"/>
      <c r="I167" s="593"/>
      <c r="J167" s="55"/>
      <c r="K167" s="1086"/>
      <c r="L167" s="1033"/>
      <c r="M167" s="1123" t="s">
        <v>964</v>
      </c>
      <c r="N167" s="603"/>
      <c r="O167" s="603"/>
      <c r="P167" s="1089"/>
      <c r="Q167" s="1087"/>
      <c r="R167" s="1047"/>
    </row>
    <row r="168" spans="1:18" ht="15">
      <c r="A168" s="1319" t="s">
        <v>954</v>
      </c>
      <c r="B168" s="1094"/>
      <c r="C168" s="1094"/>
      <c r="D168" s="3155" t="s">
        <v>953</v>
      </c>
      <c r="E168" s="3156"/>
      <c r="F168" s="1033"/>
      <c r="G168" s="1319" t="s">
        <v>955</v>
      </c>
      <c r="H168" s="1094"/>
      <c r="I168" s="1094"/>
      <c r="J168" s="3155" t="s">
        <v>953</v>
      </c>
      <c r="K168" s="3156"/>
      <c r="L168" s="1033"/>
      <c r="M168" s="1319" t="s">
        <v>963</v>
      </c>
      <c r="N168" s="1094"/>
      <c r="O168" s="1094"/>
      <c r="P168" s="3155" t="s">
        <v>944</v>
      </c>
      <c r="Q168" s="3156"/>
      <c r="R168" s="1047"/>
    </row>
    <row r="169" spans="1:18" ht="15">
      <c r="A169" s="1318" t="s">
        <v>1501</v>
      </c>
      <c r="B169" s="1124"/>
      <c r="C169" s="1125">
        <v>0.81200000000000006</v>
      </c>
      <c r="D169" s="96">
        <v>280640</v>
      </c>
      <c r="E169" s="1227">
        <f t="shared" ref="E169:E191" si="12">(D169*100/577488)</f>
        <v>48.596680796830412</v>
      </c>
      <c r="F169" s="1033"/>
      <c r="G169" s="1282" t="s">
        <v>1501</v>
      </c>
      <c r="H169" s="1124"/>
      <c r="I169" s="1125">
        <v>12.4</v>
      </c>
      <c r="J169" s="96">
        <v>4186567</v>
      </c>
      <c r="K169" s="1227">
        <f t="shared" ref="K169:K191" si="13">(J169*100/7233062)</f>
        <v>57.880977655106513</v>
      </c>
      <c r="L169" s="1033"/>
      <c r="M169" s="1300" t="s">
        <v>917</v>
      </c>
      <c r="N169" s="1124"/>
      <c r="O169" s="1125">
        <v>10.6</v>
      </c>
      <c r="P169" s="96">
        <v>5246316</v>
      </c>
      <c r="Q169" s="1227">
        <f t="shared" ref="Q169:Q189" si="14">(P169*100/6327408)</f>
        <v>82.914141145947909</v>
      </c>
      <c r="R169" s="1047"/>
    </row>
    <row r="170" spans="1:18" ht="15">
      <c r="A170" s="1280" t="s">
        <v>1819</v>
      </c>
      <c r="B170" s="1078" t="s">
        <v>46</v>
      </c>
      <c r="C170" s="1061">
        <v>46.51</v>
      </c>
      <c r="D170" s="943">
        <v>325989</v>
      </c>
      <c r="E170" s="1227">
        <f t="shared" si="12"/>
        <v>56.449484664616406</v>
      </c>
      <c r="F170" s="1033"/>
      <c r="G170" s="1226" t="s">
        <v>1819</v>
      </c>
      <c r="H170" s="957" t="s">
        <v>46</v>
      </c>
      <c r="I170" s="1061">
        <v>763.67</v>
      </c>
      <c r="J170" s="943">
        <v>4236647</v>
      </c>
      <c r="K170" s="1227">
        <f t="shared" si="13"/>
        <v>58.573353857605532</v>
      </c>
      <c r="L170" s="1033"/>
      <c r="M170" s="1222" t="s">
        <v>1819</v>
      </c>
      <c r="N170" s="1078" t="s">
        <v>46</v>
      </c>
      <c r="O170" s="1061">
        <v>763.28</v>
      </c>
      <c r="P170" s="943">
        <v>5900239</v>
      </c>
      <c r="Q170" s="1227">
        <f t="shared" si="14"/>
        <v>93.248910138243019</v>
      </c>
      <c r="R170" s="1047"/>
    </row>
    <row r="171" spans="1:18" ht="15">
      <c r="A171" s="1284" t="s">
        <v>1242</v>
      </c>
      <c r="B171" s="957" t="s">
        <v>46</v>
      </c>
      <c r="C171" s="1126">
        <v>6.63</v>
      </c>
      <c r="D171" s="943">
        <v>335636</v>
      </c>
      <c r="E171" s="1227">
        <f t="shared" si="12"/>
        <v>58.11999556700745</v>
      </c>
      <c r="F171" s="1033"/>
      <c r="G171" s="1582" t="s">
        <v>1242</v>
      </c>
      <c r="H171" s="1078" t="s">
        <v>46</v>
      </c>
      <c r="I171" s="1126">
        <v>79.11</v>
      </c>
      <c r="J171" s="943">
        <v>4270185</v>
      </c>
      <c r="K171" s="1227">
        <f t="shared" si="13"/>
        <v>59.037030236986773</v>
      </c>
      <c r="L171" s="1033"/>
      <c r="M171" s="1267" t="s">
        <v>1815</v>
      </c>
      <c r="N171" s="1069"/>
      <c r="O171" s="1126">
        <v>11.05</v>
      </c>
      <c r="P171" s="943">
        <v>5904502</v>
      </c>
      <c r="Q171" s="1227">
        <f t="shared" si="14"/>
        <v>93.316283697842778</v>
      </c>
      <c r="R171" s="1047"/>
    </row>
    <row r="172" spans="1:18" ht="15">
      <c r="A172" s="1286" t="s">
        <v>146</v>
      </c>
      <c r="B172" s="1074"/>
      <c r="C172" s="1127">
        <v>3.95</v>
      </c>
      <c r="D172" s="943">
        <v>336952</v>
      </c>
      <c r="E172" s="1227">
        <f t="shared" si="12"/>
        <v>58.347879090128281</v>
      </c>
      <c r="F172" s="1033"/>
      <c r="G172" s="1280" t="s">
        <v>146</v>
      </c>
      <c r="H172" s="1074"/>
      <c r="I172" s="1127">
        <v>66.7</v>
      </c>
      <c r="J172" s="943">
        <v>4298013</v>
      </c>
      <c r="K172" s="1227">
        <f t="shared" si="13"/>
        <v>59.42176356292812</v>
      </c>
      <c r="L172" s="1033"/>
      <c r="M172" s="1262" t="s">
        <v>1242</v>
      </c>
      <c r="N172" s="957" t="s">
        <v>46</v>
      </c>
      <c r="O172" s="1126">
        <v>80.36</v>
      </c>
      <c r="P172" s="943">
        <v>5904779</v>
      </c>
      <c r="Q172" s="1227">
        <f t="shared" si="14"/>
        <v>93.320661477812081</v>
      </c>
      <c r="R172" s="1047"/>
    </row>
    <row r="173" spans="1:18" ht="15">
      <c r="A173" s="1280" t="s">
        <v>1814</v>
      </c>
      <c r="B173" s="959"/>
      <c r="C173" s="1128">
        <v>1.48</v>
      </c>
      <c r="D173" s="943">
        <v>339041</v>
      </c>
      <c r="E173" s="1227">
        <f t="shared" si="12"/>
        <v>58.709618208516886</v>
      </c>
      <c r="F173" s="1033"/>
      <c r="G173" s="1267" t="s">
        <v>1814</v>
      </c>
      <c r="H173" s="959"/>
      <c r="I173" s="1128">
        <v>20.12</v>
      </c>
      <c r="J173" s="943">
        <v>4332783</v>
      </c>
      <c r="K173" s="1227">
        <f t="shared" si="13"/>
        <v>59.902472839303741</v>
      </c>
      <c r="L173" s="1033"/>
      <c r="M173" s="1262" t="s">
        <v>1806</v>
      </c>
      <c r="N173" s="963" t="s">
        <v>46</v>
      </c>
      <c r="O173" s="1128">
        <v>11.2</v>
      </c>
      <c r="P173" s="943">
        <v>5911459</v>
      </c>
      <c r="Q173" s="1227">
        <f t="shared" si="14"/>
        <v>93.426233933389469</v>
      </c>
      <c r="R173" s="1047"/>
    </row>
    <row r="174" spans="1:18" ht="15">
      <c r="A174" s="1280" t="s">
        <v>1815</v>
      </c>
      <c r="B174" s="1104"/>
      <c r="C174" s="1126">
        <v>1.64</v>
      </c>
      <c r="D174" s="943">
        <v>344618</v>
      </c>
      <c r="E174" s="1227">
        <f t="shared" si="12"/>
        <v>59.675352561438508</v>
      </c>
      <c r="F174" s="1033"/>
      <c r="G174" s="1267" t="s">
        <v>1815</v>
      </c>
      <c r="H174" s="1104"/>
      <c r="I174" s="1126">
        <v>15.15</v>
      </c>
      <c r="J174" s="943">
        <v>4372445</v>
      </c>
      <c r="K174" s="1227">
        <f t="shared" si="13"/>
        <v>60.450815989134341</v>
      </c>
      <c r="L174" s="1033"/>
      <c r="M174" s="1261" t="s">
        <v>1818</v>
      </c>
      <c r="N174" s="1115"/>
      <c r="O174" s="1126">
        <v>16.600000000000001</v>
      </c>
      <c r="P174" s="943">
        <v>5912312</v>
      </c>
      <c r="Q174" s="1227">
        <f t="shared" si="14"/>
        <v>93.439714967013344</v>
      </c>
      <c r="R174" s="1047"/>
    </row>
    <row r="175" spans="1:18" ht="15">
      <c r="A175" s="1285" t="s">
        <v>917</v>
      </c>
      <c r="B175" s="959"/>
      <c r="C175" s="1238">
        <v>0.79700000000000004</v>
      </c>
      <c r="D175" s="944">
        <v>346970</v>
      </c>
      <c r="E175" s="1229">
        <f t="shared" si="12"/>
        <v>60.082633751697003</v>
      </c>
      <c r="F175" s="1033"/>
      <c r="G175" s="1261" t="s">
        <v>1818</v>
      </c>
      <c r="H175" s="1067"/>
      <c r="I175" s="1129">
        <v>9.3000000000000007</v>
      </c>
      <c r="J175" s="944">
        <v>4416532</v>
      </c>
      <c r="K175" s="1229">
        <f t="shared" si="13"/>
        <v>61.060336549029998</v>
      </c>
      <c r="L175" s="1033"/>
      <c r="M175" s="1263" t="s">
        <v>1800</v>
      </c>
      <c r="N175" s="957"/>
      <c r="O175" s="1129">
        <v>1.6870000000000001</v>
      </c>
      <c r="P175" s="944">
        <v>5912724</v>
      </c>
      <c r="Q175" s="1229">
        <f t="shared" si="14"/>
        <v>93.446226322057939</v>
      </c>
      <c r="R175" s="1047"/>
    </row>
    <row r="176" spans="1:18" ht="15">
      <c r="A176" s="1287" t="s">
        <v>1800</v>
      </c>
      <c r="B176" s="957"/>
      <c r="C176" s="1061">
        <v>0.64</v>
      </c>
      <c r="D176" s="162">
        <v>348506</v>
      </c>
      <c r="E176" s="1227">
        <f t="shared" si="12"/>
        <v>60.348613304518885</v>
      </c>
      <c r="F176" s="1033"/>
      <c r="G176" s="1263" t="s">
        <v>1800</v>
      </c>
      <c r="H176" s="957"/>
      <c r="I176" s="1061">
        <v>6.11</v>
      </c>
      <c r="J176" s="162">
        <v>4416980</v>
      </c>
      <c r="K176" s="1227">
        <f t="shared" si="13"/>
        <v>61.066530329755224</v>
      </c>
      <c r="L176" s="1033"/>
      <c r="M176" s="99" t="s">
        <v>703</v>
      </c>
      <c r="N176" s="1075"/>
      <c r="O176" s="1061">
        <v>9.0489999999999995</v>
      </c>
      <c r="P176" s="162">
        <v>5916831</v>
      </c>
      <c r="Q176" s="1227">
        <f t="shared" si="14"/>
        <v>93.511134417126257</v>
      </c>
      <c r="R176" s="1047"/>
    </row>
    <row r="177" spans="1:18" ht="15">
      <c r="A177" s="1280" t="s">
        <v>1818</v>
      </c>
      <c r="B177" s="1115"/>
      <c r="C177" s="1061">
        <v>1</v>
      </c>
      <c r="D177" s="943">
        <v>350781</v>
      </c>
      <c r="E177" s="1228">
        <f t="shared" si="12"/>
        <v>60.742560884382016</v>
      </c>
      <c r="F177" s="1033"/>
      <c r="G177" s="1262" t="s">
        <v>1806</v>
      </c>
      <c r="H177" s="963" t="s">
        <v>46</v>
      </c>
      <c r="I177" s="1061">
        <v>11.5</v>
      </c>
      <c r="J177" s="943">
        <v>4437906</v>
      </c>
      <c r="K177" s="1228">
        <f t="shared" si="13"/>
        <v>61.355840721398486</v>
      </c>
      <c r="L177" s="1033"/>
      <c r="M177" s="1280" t="s">
        <v>146</v>
      </c>
      <c r="N177" s="1074"/>
      <c r="O177" s="1060">
        <v>225.7</v>
      </c>
      <c r="P177" s="943">
        <v>5917644</v>
      </c>
      <c r="Q177" s="1228">
        <f t="shared" si="14"/>
        <v>93.523983280357456</v>
      </c>
      <c r="R177" s="1047"/>
    </row>
    <row r="178" spans="1:18" ht="15">
      <c r="A178" s="1284" t="s">
        <v>1806</v>
      </c>
      <c r="B178" s="963" t="s">
        <v>46</v>
      </c>
      <c r="C178" s="1070">
        <v>1.0900000000000001</v>
      </c>
      <c r="D178" s="979">
        <v>351871</v>
      </c>
      <c r="E178" s="1228">
        <f t="shared" si="12"/>
        <v>60.931309395173578</v>
      </c>
      <c r="F178" s="1033"/>
      <c r="G178" s="1301" t="s">
        <v>917</v>
      </c>
      <c r="H178" s="959"/>
      <c r="I178" s="1071">
        <v>7.75</v>
      </c>
      <c r="J178" s="979">
        <v>4450085</v>
      </c>
      <c r="K178" s="1228">
        <f t="shared" si="13"/>
        <v>61.524220309462301</v>
      </c>
      <c r="L178" s="1033"/>
      <c r="M178" s="1267" t="s">
        <v>1814</v>
      </c>
      <c r="N178" s="959"/>
      <c r="O178" s="1071">
        <v>43</v>
      </c>
      <c r="P178" s="979">
        <v>5918178</v>
      </c>
      <c r="Q178" s="1228">
        <f t="shared" si="14"/>
        <v>93.532422755099716</v>
      </c>
      <c r="R178" s="1047"/>
    </row>
    <row r="179" spans="1:18" ht="15">
      <c r="A179" s="1280" t="s">
        <v>1550</v>
      </c>
      <c r="B179" s="959"/>
      <c r="C179" s="1060">
        <v>1</v>
      </c>
      <c r="D179" s="162">
        <v>352952</v>
      </c>
      <c r="E179" s="1227">
        <f t="shared" si="12"/>
        <v>61.11849943202283</v>
      </c>
      <c r="F179" s="1033"/>
      <c r="G179" s="1274" t="s">
        <v>1808</v>
      </c>
      <c r="H179" s="957" t="s">
        <v>46</v>
      </c>
      <c r="I179" s="1060">
        <v>7.15</v>
      </c>
      <c r="J179" s="162">
        <v>4490158</v>
      </c>
      <c r="K179" s="1227">
        <f t="shared" si="13"/>
        <v>62.078245700092161</v>
      </c>
      <c r="L179" s="1033"/>
      <c r="M179" s="1261" t="s">
        <v>1849</v>
      </c>
      <c r="N179" s="957" t="s">
        <v>46</v>
      </c>
      <c r="O179" s="1061">
        <v>1</v>
      </c>
      <c r="P179" s="162">
        <v>5919142</v>
      </c>
      <c r="Q179" s="1227">
        <f t="shared" si="14"/>
        <v>93.547658061563283</v>
      </c>
      <c r="R179" s="1047"/>
    </row>
    <row r="180" spans="1:18" ht="15">
      <c r="A180" s="1302" t="s">
        <v>1566</v>
      </c>
      <c r="B180" s="957"/>
      <c r="C180" s="1061">
        <v>1</v>
      </c>
      <c r="D180" s="162">
        <v>352977</v>
      </c>
      <c r="E180" s="1227">
        <f t="shared" si="12"/>
        <v>61.122828526307039</v>
      </c>
      <c r="F180" s="1033"/>
      <c r="G180" s="924" t="s">
        <v>703</v>
      </c>
      <c r="H180" s="1075"/>
      <c r="I180" s="1061">
        <v>4.03</v>
      </c>
      <c r="J180" s="162">
        <v>4495042</v>
      </c>
      <c r="K180" s="1227">
        <f t="shared" si="13"/>
        <v>62.145768970319899</v>
      </c>
      <c r="L180" s="1033"/>
      <c r="M180" s="1280" t="s">
        <v>1808</v>
      </c>
      <c r="N180" s="957" t="s">
        <v>46</v>
      </c>
      <c r="O180" s="1060">
        <v>5.46</v>
      </c>
      <c r="P180" s="162">
        <v>5927554</v>
      </c>
      <c r="Q180" s="1227">
        <f t="shared" si="14"/>
        <v>93.680603495143671</v>
      </c>
      <c r="R180" s="1047"/>
    </row>
    <row r="181" spans="1:18" ht="15">
      <c r="A181" s="1280" t="s">
        <v>1849</v>
      </c>
      <c r="B181" s="957" t="s">
        <v>46</v>
      </c>
      <c r="C181" s="1061">
        <v>1</v>
      </c>
      <c r="D181" s="162">
        <v>353843</v>
      </c>
      <c r="E181" s="1227">
        <f t="shared" si="12"/>
        <v>61.272788352312084</v>
      </c>
      <c r="F181" s="1033"/>
      <c r="G181" s="1001" t="s">
        <v>1566</v>
      </c>
      <c r="H181" s="957"/>
      <c r="I181" s="1061">
        <v>9</v>
      </c>
      <c r="J181" s="162">
        <v>4496246</v>
      </c>
      <c r="K181" s="1227">
        <f t="shared" si="13"/>
        <v>62.162414756018961</v>
      </c>
      <c r="L181" s="1033"/>
      <c r="M181" s="1261" t="s">
        <v>1812</v>
      </c>
      <c r="N181" s="959"/>
      <c r="O181" s="1060"/>
      <c r="P181" s="162">
        <v>5930916</v>
      </c>
      <c r="Q181" s="1227">
        <f t="shared" si="14"/>
        <v>93.733737416648339</v>
      </c>
      <c r="R181" s="1047"/>
    </row>
    <row r="182" spans="1:18" ht="15">
      <c r="A182" s="1286" t="s">
        <v>1808</v>
      </c>
      <c r="B182" s="957" t="s">
        <v>46</v>
      </c>
      <c r="C182" s="1060">
        <v>0.78</v>
      </c>
      <c r="D182" s="162">
        <v>356864</v>
      </c>
      <c r="E182" s="1227">
        <f t="shared" si="12"/>
        <v>61.795916105616044</v>
      </c>
      <c r="F182" s="1033"/>
      <c r="G182" s="1281" t="s">
        <v>926</v>
      </c>
      <c r="H182" s="969" t="s">
        <v>46</v>
      </c>
      <c r="I182" s="1060">
        <v>1.8440000000000001</v>
      </c>
      <c r="J182" s="162">
        <v>4505844</v>
      </c>
      <c r="K182" s="1227">
        <f t="shared" si="13"/>
        <v>62.295110977895668</v>
      </c>
      <c r="L182" s="1033"/>
      <c r="M182" s="1226" t="s">
        <v>1817</v>
      </c>
      <c r="N182" s="1132"/>
      <c r="O182" s="1060"/>
      <c r="P182" s="162">
        <v>5934524</v>
      </c>
      <c r="Q182" s="1227">
        <f t="shared" si="14"/>
        <v>93.790759186067973</v>
      </c>
      <c r="R182" s="1047"/>
    </row>
    <row r="183" spans="1:18" ht="15">
      <c r="A183" s="1288" t="s">
        <v>703</v>
      </c>
      <c r="B183" s="1237"/>
      <c r="C183" s="1061">
        <v>0.45</v>
      </c>
      <c r="D183" s="162">
        <v>357242</v>
      </c>
      <c r="E183" s="1227">
        <f t="shared" si="12"/>
        <v>61.861372011193303</v>
      </c>
      <c r="F183" s="1033"/>
      <c r="G183" s="1261" t="s">
        <v>1849</v>
      </c>
      <c r="H183" s="1133" t="s">
        <v>46</v>
      </c>
      <c r="I183" s="1061">
        <v>1</v>
      </c>
      <c r="J183" s="162">
        <v>4508516</v>
      </c>
      <c r="K183" s="1227">
        <f t="shared" si="13"/>
        <v>62.332052455792578</v>
      </c>
      <c r="L183" s="1033"/>
      <c r="M183" s="1261" t="s">
        <v>1813</v>
      </c>
      <c r="N183" s="1239"/>
      <c r="O183" s="1061"/>
      <c r="P183" s="162">
        <v>5942496</v>
      </c>
      <c r="Q183" s="1227">
        <f t="shared" si="14"/>
        <v>93.916750745328898</v>
      </c>
      <c r="R183" s="1047"/>
    </row>
    <row r="184" spans="1:18" ht="15">
      <c r="A184" s="1291" t="s">
        <v>1816</v>
      </c>
      <c r="B184" s="964" t="s">
        <v>46</v>
      </c>
      <c r="C184" s="1061">
        <v>1</v>
      </c>
      <c r="D184" s="162">
        <v>361907</v>
      </c>
      <c r="E184" s="1227">
        <f t="shared" si="12"/>
        <v>62.669181004626935</v>
      </c>
      <c r="F184" s="1033"/>
      <c r="G184" s="1261" t="s">
        <v>1550</v>
      </c>
      <c r="H184" s="593"/>
      <c r="I184" s="1060">
        <v>1</v>
      </c>
      <c r="J184" s="162">
        <v>4511818</v>
      </c>
      <c r="K184" s="1227">
        <f t="shared" si="13"/>
        <v>62.377703937834347</v>
      </c>
      <c r="L184" s="1033"/>
      <c r="M184" s="1281" t="s">
        <v>926</v>
      </c>
      <c r="N184" s="969" t="s">
        <v>46</v>
      </c>
      <c r="O184" s="1060">
        <v>2.359</v>
      </c>
      <c r="P184" s="162">
        <v>5947052</v>
      </c>
      <c r="Q184" s="1227">
        <f t="shared" si="14"/>
        <v>93.988754953055022</v>
      </c>
      <c r="R184" s="1047"/>
    </row>
    <row r="185" spans="1:18" ht="15">
      <c r="A185" s="1280" t="s">
        <v>1813</v>
      </c>
      <c r="B185" s="956"/>
      <c r="C185" s="1061">
        <v>0.26900000000000002</v>
      </c>
      <c r="D185" s="162">
        <v>362832</v>
      </c>
      <c r="E185" s="1227">
        <f t="shared" si="12"/>
        <v>62.829357493142716</v>
      </c>
      <c r="F185" s="1033"/>
      <c r="G185" s="1269" t="s">
        <v>1816</v>
      </c>
      <c r="H185" s="964" t="s">
        <v>46</v>
      </c>
      <c r="I185" s="1061">
        <v>2</v>
      </c>
      <c r="J185" s="162">
        <v>4531612</v>
      </c>
      <c r="K185" s="1227">
        <f t="shared" si="13"/>
        <v>62.651363972823681</v>
      </c>
      <c r="L185" s="1033"/>
      <c r="M185" s="1269" t="s">
        <v>1816</v>
      </c>
      <c r="N185" s="964" t="s">
        <v>46</v>
      </c>
      <c r="O185" s="1061">
        <v>1</v>
      </c>
      <c r="P185" s="162">
        <v>5953325</v>
      </c>
      <c r="Q185" s="1227">
        <f t="shared" si="14"/>
        <v>94.087895074886902</v>
      </c>
      <c r="R185" s="1047"/>
    </row>
    <row r="186" spans="1:18" ht="15">
      <c r="A186" s="1280" t="s">
        <v>1812</v>
      </c>
      <c r="B186" s="1506"/>
      <c r="C186" s="1060">
        <v>1</v>
      </c>
      <c r="D186" s="162">
        <v>363405</v>
      </c>
      <c r="E186" s="1227">
        <f t="shared" si="12"/>
        <v>62.928580334136811</v>
      </c>
      <c r="F186" s="1033"/>
      <c r="G186" s="1226" t="s">
        <v>1809</v>
      </c>
      <c r="H186" s="1110" t="s">
        <v>46</v>
      </c>
      <c r="I186" s="1061">
        <v>1.25</v>
      </c>
      <c r="J186" s="162">
        <v>4563809</v>
      </c>
      <c r="K186" s="1227">
        <f t="shared" si="13"/>
        <v>63.096500486239435</v>
      </c>
      <c r="L186" s="1033"/>
      <c r="M186" s="1001" t="s">
        <v>1566</v>
      </c>
      <c r="N186" s="1110"/>
      <c r="O186" s="1061">
        <v>1</v>
      </c>
      <c r="P186" s="162">
        <v>6029372</v>
      </c>
      <c r="Q186" s="1227">
        <f t="shared" si="14"/>
        <v>95.289761621188333</v>
      </c>
      <c r="R186" s="1047"/>
    </row>
    <row r="187" spans="1:18" ht="15">
      <c r="A187" s="1292" t="s">
        <v>926</v>
      </c>
      <c r="B187" s="969" t="s">
        <v>46</v>
      </c>
      <c r="C187" s="1060">
        <v>0.34399999999999997</v>
      </c>
      <c r="D187" s="162">
        <v>364910</v>
      </c>
      <c r="E187" s="1227">
        <f t="shared" si="12"/>
        <v>63.189191810046268</v>
      </c>
      <c r="F187" s="1033"/>
      <c r="G187" s="1261" t="s">
        <v>1813</v>
      </c>
      <c r="H187" s="956"/>
      <c r="I187" s="1061">
        <v>3.3</v>
      </c>
      <c r="J187" s="162">
        <v>4570352</v>
      </c>
      <c r="K187" s="1227">
        <f t="shared" si="13"/>
        <v>63.186960100715297</v>
      </c>
      <c r="L187" s="1033"/>
      <c r="M187" s="1226" t="s">
        <v>1809</v>
      </c>
      <c r="N187" s="957" t="s">
        <v>46</v>
      </c>
      <c r="O187" s="1061">
        <v>2.34</v>
      </c>
      <c r="P187" s="162">
        <v>6145668</v>
      </c>
      <c r="Q187" s="1227">
        <f t="shared" si="14"/>
        <v>97.127733820863142</v>
      </c>
      <c r="R187" s="1047"/>
    </row>
    <row r="188" spans="1:18" ht="15">
      <c r="A188" s="1280" t="s">
        <v>1817</v>
      </c>
      <c r="B188" s="1109"/>
      <c r="C188" s="1060">
        <v>1</v>
      </c>
      <c r="D188" s="943">
        <v>365569</v>
      </c>
      <c r="E188" s="1227">
        <f t="shared" si="12"/>
        <v>63.303306735378051</v>
      </c>
      <c r="F188" s="1033"/>
      <c r="G188" s="1261" t="s">
        <v>1812</v>
      </c>
      <c r="H188" s="1109"/>
      <c r="I188" s="1060">
        <v>1</v>
      </c>
      <c r="J188" s="943">
        <v>4607412</v>
      </c>
      <c r="K188" s="1227">
        <f t="shared" si="13"/>
        <v>63.699329550887299</v>
      </c>
      <c r="L188" s="1033"/>
      <c r="M188" s="99" t="s">
        <v>1804</v>
      </c>
      <c r="N188" s="1109"/>
      <c r="O188" s="1060">
        <v>1</v>
      </c>
      <c r="P188" s="943">
        <v>6291021</v>
      </c>
      <c r="Q188" s="1228">
        <f t="shared" si="14"/>
        <v>99.424930398039763</v>
      </c>
      <c r="R188" s="1047"/>
    </row>
    <row r="189" spans="1:18" ht="15">
      <c r="A189" s="1280" t="s">
        <v>1809</v>
      </c>
      <c r="B189" s="1080" t="s">
        <v>46</v>
      </c>
      <c r="C189" s="1061">
        <v>7.8E-2</v>
      </c>
      <c r="D189" s="943">
        <v>368155</v>
      </c>
      <c r="E189" s="1227">
        <f t="shared" si="12"/>
        <v>63.751108248136759</v>
      </c>
      <c r="F189" s="1033"/>
      <c r="G189" s="99" t="s">
        <v>1804</v>
      </c>
      <c r="H189" s="1135"/>
      <c r="I189" s="1060">
        <v>1</v>
      </c>
      <c r="J189" s="943">
        <v>4668113</v>
      </c>
      <c r="K189" s="1228">
        <f t="shared" si="13"/>
        <v>64.538545362945868</v>
      </c>
      <c r="L189" s="1033"/>
      <c r="M189" s="1284" t="s">
        <v>1501</v>
      </c>
      <c r="N189" s="1109"/>
      <c r="O189" s="1060">
        <v>2.9689999999999999</v>
      </c>
      <c r="P189" s="943">
        <v>6295207</v>
      </c>
      <c r="Q189" s="1228">
        <f t="shared" si="14"/>
        <v>99.491087029633618</v>
      </c>
      <c r="R189" s="1047"/>
    </row>
    <row r="190" spans="1:18" ht="15">
      <c r="A190" s="1288" t="s">
        <v>1804</v>
      </c>
      <c r="B190" s="1109"/>
      <c r="C190" s="1060"/>
      <c r="D190" s="943">
        <v>372408</v>
      </c>
      <c r="E190" s="1227">
        <f t="shared" si="12"/>
        <v>64.487573767766605</v>
      </c>
      <c r="F190" s="1033"/>
      <c r="G190" s="1226" t="s">
        <v>1817</v>
      </c>
      <c r="H190" s="1109"/>
      <c r="I190" s="1060">
        <v>3</v>
      </c>
      <c r="J190" s="943">
        <v>5587900</v>
      </c>
      <c r="K190" s="1227">
        <f t="shared" si="13"/>
        <v>77.25497168419129</v>
      </c>
      <c r="L190" s="1033"/>
      <c r="M190" s="1007" t="s">
        <v>746</v>
      </c>
      <c r="N190" s="1109"/>
      <c r="O190" s="1060"/>
      <c r="P190" s="943">
        <v>6327408</v>
      </c>
      <c r="Q190" s="1227">
        <f>(P190*100/6327408)</f>
        <v>100</v>
      </c>
      <c r="R190" s="1047"/>
    </row>
    <row r="191" spans="1:18" ht="15">
      <c r="A191" s="1288" t="s">
        <v>746</v>
      </c>
      <c r="B191" s="1109"/>
      <c r="C191" s="1060"/>
      <c r="D191" s="162">
        <v>577488</v>
      </c>
      <c r="E191" s="1227">
        <f t="shared" si="12"/>
        <v>100</v>
      </c>
      <c r="F191" s="1033"/>
      <c r="G191" s="99" t="s">
        <v>746</v>
      </c>
      <c r="H191" s="1109"/>
      <c r="I191" s="1060"/>
      <c r="J191" s="162">
        <v>7233062</v>
      </c>
      <c r="K191" s="1227">
        <f t="shared" si="13"/>
        <v>100</v>
      </c>
      <c r="L191" s="1033"/>
      <c r="M191" s="1261" t="s">
        <v>1550</v>
      </c>
      <c r="N191" s="1109"/>
      <c r="O191" s="1060">
        <v>1</v>
      </c>
      <c r="P191" s="162">
        <v>6330295</v>
      </c>
      <c r="Q191" s="1227">
        <f>(P191*100/6327408)</f>
        <v>100.0456268980916</v>
      </c>
      <c r="R191" s="1047"/>
    </row>
    <row r="192" spans="1:18" ht="15">
      <c r="A192" s="593"/>
      <c r="B192" s="593"/>
      <c r="C192" s="593"/>
      <c r="D192" s="55"/>
      <c r="E192" s="1086"/>
      <c r="F192" s="1033"/>
      <c r="G192" s="593"/>
      <c r="H192" s="593"/>
      <c r="I192" s="593"/>
      <c r="J192" s="55"/>
      <c r="K192" s="1086"/>
      <c r="L192" s="1033"/>
      <c r="M192" s="603"/>
      <c r="N192" s="603"/>
      <c r="O192" s="603"/>
      <c r="P192" s="1089"/>
      <c r="Q192" s="1087"/>
      <c r="R192" s="1047"/>
    </row>
    <row r="193" spans="1:18" ht="17.25">
      <c r="A193" s="593"/>
      <c r="B193" s="1355" t="s">
        <v>1821</v>
      </c>
      <c r="C193" s="593"/>
      <c r="D193" s="55"/>
      <c r="E193" s="1086"/>
      <c r="F193" s="1033"/>
      <c r="G193" s="1356"/>
      <c r="H193" s="1356"/>
      <c r="I193" s="1356"/>
      <c r="J193" s="1356"/>
      <c r="K193" s="1356"/>
      <c r="L193" s="1356"/>
      <c r="M193" s="1356"/>
      <c r="N193" s="603"/>
      <c r="O193" s="603"/>
      <c r="P193" s="1089"/>
      <c r="Q193" s="1087"/>
      <c r="R193" s="1047"/>
    </row>
    <row r="194" spans="1:18" ht="17.25">
      <c r="A194" s="593"/>
      <c r="B194" s="627" t="s">
        <v>1645</v>
      </c>
      <c r="C194" s="593"/>
      <c r="D194" s="55"/>
      <c r="E194" s="1086"/>
      <c r="F194" s="1033"/>
      <c r="G194" s="989"/>
      <c r="H194" s="989"/>
      <c r="I194" s="989"/>
      <c r="J194" s="989"/>
      <c r="K194" s="989"/>
      <c r="L194" s="989"/>
      <c r="M194" s="989"/>
      <c r="N194" s="603"/>
      <c r="O194" s="603"/>
      <c r="P194" s="1089"/>
      <c r="Q194" s="1087"/>
      <c r="R194" s="1047"/>
    </row>
    <row r="195" spans="1:18" ht="17.25">
      <c r="A195" s="593"/>
      <c r="B195" s="64" t="s">
        <v>1859</v>
      </c>
      <c r="C195" s="593"/>
      <c r="D195" s="55"/>
      <c r="E195" s="1086"/>
      <c r="F195" s="1033"/>
      <c r="G195" s="989"/>
      <c r="H195" s="989"/>
      <c r="I195" s="989"/>
      <c r="J195" s="989"/>
      <c r="K195" s="989"/>
      <c r="L195" s="989"/>
      <c r="M195" s="989"/>
      <c r="N195" s="603"/>
      <c r="O195" s="603"/>
      <c r="P195" s="1089"/>
      <c r="Q195" s="1087"/>
      <c r="R195" s="1047"/>
    </row>
    <row r="196" spans="1:18" ht="15">
      <c r="A196" s="593"/>
      <c r="B196" s="593"/>
      <c r="C196" s="593"/>
      <c r="D196" s="55"/>
      <c r="E196" s="1086"/>
      <c r="F196" s="1033"/>
      <c r="G196" s="989"/>
      <c r="H196" s="989"/>
      <c r="I196" s="989"/>
      <c r="J196" s="989"/>
      <c r="K196" s="989"/>
      <c r="L196" s="989"/>
      <c r="M196" s="989"/>
      <c r="N196" s="603"/>
      <c r="O196" s="603"/>
      <c r="P196" s="1089"/>
      <c r="Q196" s="1087"/>
      <c r="R196" s="1047"/>
    </row>
    <row r="197" spans="1:18" ht="15">
      <c r="A197" s="593"/>
      <c r="B197" s="593"/>
      <c r="C197" s="593"/>
      <c r="D197" s="55"/>
      <c r="E197" s="1086"/>
      <c r="F197" s="1033"/>
      <c r="G197" s="989"/>
      <c r="H197" s="989"/>
      <c r="I197" s="989"/>
      <c r="J197" s="989"/>
      <c r="K197" s="989"/>
      <c r="L197" s="989"/>
      <c r="M197" s="989"/>
      <c r="N197" s="603"/>
      <c r="O197" s="603"/>
      <c r="P197" s="1089"/>
      <c r="Q197" s="1087"/>
      <c r="R197" s="1047"/>
    </row>
    <row r="198" spans="1:18" ht="20.25">
      <c r="A198" s="1545" t="s">
        <v>718</v>
      </c>
      <c r="B198" s="1033"/>
      <c r="C198" s="1033"/>
      <c r="D198" s="1033"/>
      <c r="E198" s="1046"/>
      <c r="F198" s="1033"/>
      <c r="G198" s="989"/>
      <c r="H198" s="989"/>
      <c r="I198" s="989"/>
      <c r="J198" s="989"/>
      <c r="K198" s="989"/>
      <c r="L198" s="989"/>
      <c r="M198" s="989"/>
      <c r="N198" s="1033"/>
      <c r="O198" s="1033"/>
      <c r="P198" s="1033"/>
      <c r="Q198" s="1046"/>
      <c r="R198" s="1047"/>
    </row>
    <row r="199" spans="1:18" ht="15.75" thickBot="1">
      <c r="A199" s="1090"/>
      <c r="B199" s="1090"/>
      <c r="C199" s="1090"/>
      <c r="D199" s="1090"/>
      <c r="E199" s="1091"/>
      <c r="F199" s="1090"/>
      <c r="G199" s="990"/>
      <c r="H199" s="990"/>
      <c r="I199" s="990"/>
      <c r="J199" s="990"/>
      <c r="K199" s="990"/>
      <c r="L199" s="990"/>
      <c r="M199" s="990"/>
      <c r="N199" s="1090"/>
      <c r="O199" s="1090"/>
      <c r="P199" s="1090"/>
      <c r="Q199" s="1091"/>
      <c r="R199" s="1047"/>
    </row>
    <row r="200" spans="1:18" ht="15.75" thickTop="1">
      <c r="A200" s="1534"/>
      <c r="B200" s="1534"/>
      <c r="C200" s="1534"/>
      <c r="D200" s="1534"/>
      <c r="E200" s="1210"/>
      <c r="F200" s="1534"/>
      <c r="G200" s="989"/>
      <c r="H200" s="989"/>
      <c r="I200" s="1547"/>
      <c r="J200" s="1547"/>
      <c r="K200" s="1547"/>
      <c r="L200" s="1547"/>
      <c r="M200" s="1547"/>
      <c r="N200" s="1548"/>
      <c r="O200" s="1548"/>
      <c r="P200" s="1534"/>
      <c r="Q200" s="1210"/>
      <c r="R200" s="1047"/>
    </row>
    <row r="201" spans="1:18" ht="15">
      <c r="A201" s="1041" t="s">
        <v>983</v>
      </c>
      <c r="B201" s="593"/>
      <c r="C201" s="593"/>
      <c r="D201" s="55"/>
      <c r="E201" s="1086"/>
      <c r="F201" s="1033"/>
      <c r="G201" s="1041" t="s">
        <v>978</v>
      </c>
      <c r="H201" s="1109"/>
      <c r="I201" s="1546"/>
      <c r="J201" s="55"/>
      <c r="K201" s="1086"/>
      <c r="L201" s="1033"/>
      <c r="M201" s="1123" t="s">
        <v>984</v>
      </c>
      <c r="N201" s="1136"/>
      <c r="O201" s="1142"/>
      <c r="P201" s="1089"/>
      <c r="Q201" s="1087"/>
      <c r="R201" s="1047"/>
    </row>
    <row r="202" spans="1:18" ht="15">
      <c r="A202" s="973" t="s">
        <v>986</v>
      </c>
      <c r="B202" s="1048"/>
      <c r="C202" s="1094"/>
      <c r="D202" s="3157" t="s">
        <v>719</v>
      </c>
      <c r="E202" s="3158"/>
      <c r="F202" s="593"/>
      <c r="G202" s="974" t="s">
        <v>1235</v>
      </c>
      <c r="H202" s="588"/>
      <c r="I202" s="588"/>
      <c r="J202" s="3157" t="s">
        <v>720</v>
      </c>
      <c r="K202" s="3158"/>
      <c r="L202" s="593"/>
      <c r="M202" s="974" t="s">
        <v>985</v>
      </c>
      <c r="N202" s="588"/>
      <c r="O202" s="588"/>
      <c r="P202" s="3157" t="s">
        <v>720</v>
      </c>
      <c r="Q202" s="3158"/>
      <c r="R202" s="1047"/>
    </row>
    <row r="203" spans="1:18" ht="15">
      <c r="A203" s="1301" t="s">
        <v>917</v>
      </c>
      <c r="B203" s="1137"/>
      <c r="C203" s="1054">
        <v>122</v>
      </c>
      <c r="D203" s="976">
        <v>48673735</v>
      </c>
      <c r="E203" s="1227">
        <f t="shared" ref="E203:E225" si="15">(D203*100/54573840)</f>
        <v>89.188766998987063</v>
      </c>
      <c r="F203" s="593"/>
      <c r="G203" s="1271" t="s">
        <v>1819</v>
      </c>
      <c r="H203" s="1053" t="s">
        <v>46</v>
      </c>
      <c r="I203" s="1054">
        <v>37614.99</v>
      </c>
      <c r="J203" s="939">
        <v>185111802</v>
      </c>
      <c r="K203" s="1227">
        <f t="shared" ref="K203:K227" si="16">(J203*100/343060820)</f>
        <v>53.958887523209441</v>
      </c>
      <c r="L203" s="593"/>
      <c r="M203" s="1008" t="s">
        <v>977</v>
      </c>
      <c r="N203" s="954"/>
      <c r="O203" s="1198">
        <v>49</v>
      </c>
      <c r="P203" s="1508">
        <v>15305032</v>
      </c>
      <c r="Q203" s="1231">
        <f t="shared" ref="Q203:Q226" si="17">(P203*100/19319296)</f>
        <v>79.221478877905284</v>
      </c>
      <c r="R203" s="1047"/>
    </row>
    <row r="204" spans="1:18" ht="15">
      <c r="A204" s="1284" t="s">
        <v>1501</v>
      </c>
      <c r="B204" s="1138"/>
      <c r="C204" s="1054">
        <v>32.25</v>
      </c>
      <c r="D204" s="1009">
        <v>48673735</v>
      </c>
      <c r="E204" s="1227">
        <f t="shared" si="15"/>
        <v>89.188766998987063</v>
      </c>
      <c r="F204" s="593"/>
      <c r="G204" s="1267" t="s">
        <v>1815</v>
      </c>
      <c r="H204" s="956"/>
      <c r="I204" s="1061">
        <v>782.21</v>
      </c>
      <c r="J204" s="162">
        <v>185678629</v>
      </c>
      <c r="K204" s="1227">
        <f t="shared" si="16"/>
        <v>54.124113910763697</v>
      </c>
      <c r="L204" s="593"/>
      <c r="M204" s="1222" t="s">
        <v>1819</v>
      </c>
      <c r="N204" s="1078" t="s">
        <v>46</v>
      </c>
      <c r="O204" s="1101">
        <v>2265.63</v>
      </c>
      <c r="P204" s="162">
        <v>18551043</v>
      </c>
      <c r="Q204" s="1231">
        <f t="shared" si="17"/>
        <v>96.023390293310896</v>
      </c>
      <c r="R204" s="1047"/>
    </row>
    <row r="205" spans="1:18" ht="15">
      <c r="A205" s="1280" t="s">
        <v>1819</v>
      </c>
      <c r="B205" s="1078" t="s">
        <v>46</v>
      </c>
      <c r="C205" s="1061">
        <v>6142.5</v>
      </c>
      <c r="D205" s="162">
        <v>54186047</v>
      </c>
      <c r="E205" s="1227">
        <f t="shared" si="15"/>
        <v>99.289415954603896</v>
      </c>
      <c r="F205" s="593"/>
      <c r="G205" s="1284" t="s">
        <v>917</v>
      </c>
      <c r="H205" s="1139"/>
      <c r="I205" s="1101">
        <v>639.26</v>
      </c>
      <c r="J205" s="162">
        <v>186444625</v>
      </c>
      <c r="K205" s="1227">
        <f t="shared" si="16"/>
        <v>54.347396767721825</v>
      </c>
      <c r="L205" s="593"/>
      <c r="M205" s="99" t="s">
        <v>703</v>
      </c>
      <c r="N205" s="1140"/>
      <c r="O205" s="1061">
        <v>11.53</v>
      </c>
      <c r="P205" s="162">
        <v>18528084</v>
      </c>
      <c r="Q205" s="1231">
        <f t="shared" si="17"/>
        <v>95.904550559192216</v>
      </c>
      <c r="R205" s="1047"/>
    </row>
    <row r="206" spans="1:18" ht="15">
      <c r="A206" s="1280" t="s">
        <v>1815</v>
      </c>
      <c r="B206" s="1140"/>
      <c r="C206" s="1061">
        <v>101.53</v>
      </c>
      <c r="D206" s="162">
        <v>54171990</v>
      </c>
      <c r="E206" s="1227">
        <f t="shared" si="15"/>
        <v>99.263658192276736</v>
      </c>
      <c r="F206" s="593"/>
      <c r="G206" s="1262" t="s">
        <v>1242</v>
      </c>
      <c r="H206" s="957" t="s">
        <v>46</v>
      </c>
      <c r="I206" s="1061">
        <v>3964.74</v>
      </c>
      <c r="J206" s="162">
        <v>188880770</v>
      </c>
      <c r="K206" s="1227">
        <f t="shared" si="16"/>
        <v>55.057517206424215</v>
      </c>
      <c r="L206" s="593"/>
      <c r="M206" s="1262" t="s">
        <v>1242</v>
      </c>
      <c r="N206" s="957" t="s">
        <v>46</v>
      </c>
      <c r="O206" s="1061">
        <v>244.08</v>
      </c>
      <c r="P206" s="162">
        <v>18569530</v>
      </c>
      <c r="Q206" s="1231">
        <f t="shared" si="17"/>
        <v>96.11908218601755</v>
      </c>
      <c r="R206" s="1047"/>
    </row>
    <row r="207" spans="1:18" ht="15">
      <c r="A207" s="1284" t="s">
        <v>1242</v>
      </c>
      <c r="B207" s="957" t="s">
        <v>46</v>
      </c>
      <c r="C207" s="1061">
        <v>696.8</v>
      </c>
      <c r="D207" s="940">
        <v>54195637</v>
      </c>
      <c r="E207" s="1227">
        <f t="shared" si="15"/>
        <v>99.306988476530151</v>
      </c>
      <c r="F207" s="593"/>
      <c r="G207" s="1280" t="s">
        <v>146</v>
      </c>
      <c r="H207" s="1072"/>
      <c r="I207" s="1061">
        <v>6505.78</v>
      </c>
      <c r="J207" s="943">
        <v>189792486</v>
      </c>
      <c r="K207" s="1227">
        <f t="shared" si="16"/>
        <v>55.32327649656991</v>
      </c>
      <c r="L207" s="593"/>
      <c r="M207" s="1267" t="s">
        <v>1815</v>
      </c>
      <c r="N207" s="956"/>
      <c r="O207" s="1061">
        <v>40.119999999999997</v>
      </c>
      <c r="P207" s="162">
        <v>18574131</v>
      </c>
      <c r="Q207" s="1231">
        <f t="shared" si="17"/>
        <v>96.142897753624155</v>
      </c>
      <c r="R207" s="1047"/>
    </row>
    <row r="208" spans="1:18" ht="15">
      <c r="A208" s="1287" t="s">
        <v>1800</v>
      </c>
      <c r="B208" s="957"/>
      <c r="C208" s="1061">
        <v>15.9</v>
      </c>
      <c r="D208" s="945">
        <v>54324849</v>
      </c>
      <c r="E208" s="1227">
        <f t="shared" si="15"/>
        <v>99.543753930454585</v>
      </c>
      <c r="F208" s="593"/>
      <c r="G208" s="1261" t="s">
        <v>1849</v>
      </c>
      <c r="H208" s="957" t="s">
        <v>46</v>
      </c>
      <c r="I208" s="1061">
        <v>44</v>
      </c>
      <c r="J208" s="943">
        <v>189880612</v>
      </c>
      <c r="K208" s="1227">
        <f t="shared" si="16"/>
        <v>55.348964652973194</v>
      </c>
      <c r="L208" s="593"/>
      <c r="M208" s="1261" t="s">
        <v>1818</v>
      </c>
      <c r="N208" s="1067"/>
      <c r="O208" s="1061">
        <v>44.6</v>
      </c>
      <c r="P208" s="943">
        <v>18604663</v>
      </c>
      <c r="Q208" s="1231">
        <f t="shared" si="17"/>
        <v>96.300936638684973</v>
      </c>
      <c r="R208" s="1047"/>
    </row>
    <row r="209" spans="1:18" ht="15">
      <c r="A209" s="1286" t="s">
        <v>146</v>
      </c>
      <c r="B209" s="957"/>
      <c r="C209" s="1070">
        <v>1865.39</v>
      </c>
      <c r="D209" s="941">
        <v>54353729</v>
      </c>
      <c r="E209" s="1227">
        <f t="shared" si="15"/>
        <v>99.596673058007283</v>
      </c>
      <c r="F209" s="593"/>
      <c r="G209" s="1280" t="s">
        <v>1808</v>
      </c>
      <c r="H209" s="957" t="s">
        <v>46</v>
      </c>
      <c r="I209" s="1071">
        <v>1466.14</v>
      </c>
      <c r="J209" s="941">
        <v>191493555</v>
      </c>
      <c r="K209" s="1227">
        <f t="shared" si="16"/>
        <v>55.819127057412153</v>
      </c>
      <c r="L209" s="593"/>
      <c r="M209" s="1263" t="s">
        <v>1800</v>
      </c>
      <c r="N209" s="957"/>
      <c r="O209" s="1070">
        <v>5.0599999999999996</v>
      </c>
      <c r="P209" s="979">
        <v>18610191</v>
      </c>
      <c r="Q209" s="1231">
        <f t="shared" si="17"/>
        <v>96.329550517782849</v>
      </c>
      <c r="R209" s="1047"/>
    </row>
    <row r="210" spans="1:18" ht="15">
      <c r="A210" s="1280" t="s">
        <v>1818</v>
      </c>
      <c r="B210" s="1067"/>
      <c r="C210" s="1070">
        <v>131.9</v>
      </c>
      <c r="D210" s="980">
        <v>54355972</v>
      </c>
      <c r="E210" s="1229">
        <f t="shared" si="15"/>
        <v>99.600783085815479</v>
      </c>
      <c r="F210" s="593"/>
      <c r="G210" s="1267" t="s">
        <v>1814</v>
      </c>
      <c r="H210" s="959"/>
      <c r="I210" s="1070">
        <v>2054.29</v>
      </c>
      <c r="J210" s="980">
        <v>192742881</v>
      </c>
      <c r="K210" s="1229">
        <f t="shared" si="16"/>
        <v>56.183297468944431</v>
      </c>
      <c r="L210" s="593"/>
      <c r="M210" s="1280" t="s">
        <v>146</v>
      </c>
      <c r="N210" s="956"/>
      <c r="O210" s="1070">
        <v>605.29999999999995</v>
      </c>
      <c r="P210" s="944">
        <v>18627522</v>
      </c>
      <c r="Q210" s="1233">
        <f t="shared" si="17"/>
        <v>96.419258755598548</v>
      </c>
      <c r="R210" s="1047"/>
    </row>
    <row r="211" spans="1:18" ht="15">
      <c r="A211" s="1288" t="s">
        <v>703</v>
      </c>
      <c r="B211" s="1130"/>
      <c r="C211" s="1061">
        <v>33.840000000000003</v>
      </c>
      <c r="D211" s="943">
        <v>54356519</v>
      </c>
      <c r="E211" s="1227">
        <f t="shared" si="15"/>
        <v>99.601785397545783</v>
      </c>
      <c r="F211" s="593"/>
      <c r="G211" s="1263" t="s">
        <v>1800</v>
      </c>
      <c r="H211" s="1072"/>
      <c r="I211" s="1061">
        <v>214.06</v>
      </c>
      <c r="J211" s="943">
        <v>192746748</v>
      </c>
      <c r="K211" s="1228">
        <f t="shared" si="16"/>
        <v>56.184424674318684</v>
      </c>
      <c r="L211" s="593"/>
      <c r="M211" s="1262" t="s">
        <v>1806</v>
      </c>
      <c r="N211" s="963" t="s">
        <v>46</v>
      </c>
      <c r="O211" s="1061">
        <v>30.44</v>
      </c>
      <c r="P211" s="943">
        <v>18637447</v>
      </c>
      <c r="Q211" s="1232">
        <f t="shared" si="17"/>
        <v>96.470632263204621</v>
      </c>
      <c r="R211" s="1047"/>
    </row>
    <row r="212" spans="1:18" ht="15">
      <c r="A212" s="1286" t="s">
        <v>1808</v>
      </c>
      <c r="B212" s="957" t="s">
        <v>46</v>
      </c>
      <c r="C212" s="1060">
        <v>36.01</v>
      </c>
      <c r="D212" s="940">
        <v>54382722</v>
      </c>
      <c r="E212" s="1227">
        <f t="shared" si="15"/>
        <v>99.649799244473172</v>
      </c>
      <c r="F212" s="593"/>
      <c r="G212" s="999" t="s">
        <v>977</v>
      </c>
      <c r="H212" s="1064"/>
      <c r="I212" s="1101">
        <v>137</v>
      </c>
      <c r="J212" s="162">
        <v>193590203</v>
      </c>
      <c r="K212" s="1227">
        <f t="shared" si="16"/>
        <v>56.430286326488698</v>
      </c>
      <c r="L212" s="593"/>
      <c r="M212" s="1267" t="s">
        <v>1814</v>
      </c>
      <c r="N212" s="1109"/>
      <c r="O212" s="1061">
        <v>246.3</v>
      </c>
      <c r="P212" s="162">
        <v>18642551</v>
      </c>
      <c r="Q212" s="1231">
        <f t="shared" si="17"/>
        <v>96.497051445352881</v>
      </c>
      <c r="R212" s="1047"/>
    </row>
    <row r="213" spans="1:18" ht="15">
      <c r="A213" s="1280" t="s">
        <v>1814</v>
      </c>
      <c r="B213" s="593"/>
      <c r="C213" s="1060">
        <v>547.86</v>
      </c>
      <c r="D213" s="940">
        <v>54395868</v>
      </c>
      <c r="E213" s="1227">
        <f t="shared" si="15"/>
        <v>99.673887708836318</v>
      </c>
      <c r="F213" s="593"/>
      <c r="G213" s="99" t="s">
        <v>703</v>
      </c>
      <c r="H213" s="1076"/>
      <c r="I213" s="1101">
        <v>201.59</v>
      </c>
      <c r="J213" s="162">
        <v>195336232</v>
      </c>
      <c r="K213" s="1227">
        <f t="shared" si="16"/>
        <v>56.939242435204349</v>
      </c>
      <c r="L213" s="593"/>
      <c r="M213" s="1261" t="s">
        <v>1849</v>
      </c>
      <c r="N213" s="957" t="s">
        <v>46</v>
      </c>
      <c r="O213" s="1061">
        <v>3</v>
      </c>
      <c r="P213" s="162">
        <v>18649625</v>
      </c>
      <c r="Q213" s="1231">
        <f t="shared" si="17"/>
        <v>96.533667686441575</v>
      </c>
      <c r="R213" s="1047"/>
    </row>
    <row r="214" spans="1:18" ht="15">
      <c r="A214" s="1280" t="s">
        <v>1849</v>
      </c>
      <c r="B214" s="957" t="s">
        <v>46</v>
      </c>
      <c r="C214" s="1061">
        <v>12</v>
      </c>
      <c r="D214" s="940">
        <v>54395896</v>
      </c>
      <c r="E214" s="1227">
        <f t="shared" si="15"/>
        <v>99.673939015469685</v>
      </c>
      <c r="F214" s="593"/>
      <c r="G214" s="1269" t="s">
        <v>1816</v>
      </c>
      <c r="H214" s="964" t="s">
        <v>46</v>
      </c>
      <c r="I214" s="1101">
        <v>33</v>
      </c>
      <c r="J214" s="940">
        <v>198591751</v>
      </c>
      <c r="K214" s="1227">
        <f t="shared" si="16"/>
        <v>57.888205071042506</v>
      </c>
      <c r="L214" s="593"/>
      <c r="M214" s="1301" t="s">
        <v>917</v>
      </c>
      <c r="N214" s="956"/>
      <c r="O214" s="1061">
        <v>24.26</v>
      </c>
      <c r="P214" s="162">
        <v>18656093</v>
      </c>
      <c r="Q214" s="1231">
        <f t="shared" si="17"/>
        <v>96.567147167267379</v>
      </c>
      <c r="R214" s="1047"/>
    </row>
    <row r="215" spans="1:18" ht="15">
      <c r="A215" s="1284" t="s">
        <v>1806</v>
      </c>
      <c r="B215" s="963" t="s">
        <v>46</v>
      </c>
      <c r="C215" s="1061">
        <v>31.61</v>
      </c>
      <c r="D215" s="940">
        <v>54437789</v>
      </c>
      <c r="E215" s="1227">
        <f t="shared" si="15"/>
        <v>99.750702900877044</v>
      </c>
      <c r="F215" s="593"/>
      <c r="G215" s="1001" t="s">
        <v>1566</v>
      </c>
      <c r="H215" s="956"/>
      <c r="I215" s="1101">
        <v>361</v>
      </c>
      <c r="J215" s="162">
        <v>199835129</v>
      </c>
      <c r="K215" s="1227">
        <f t="shared" si="16"/>
        <v>58.250641679221779</v>
      </c>
      <c r="L215" s="593"/>
      <c r="M215" s="1274" t="s">
        <v>1808</v>
      </c>
      <c r="N215" s="957" t="s">
        <v>46</v>
      </c>
      <c r="O215" s="1061">
        <v>18.47</v>
      </c>
      <c r="P215" s="162">
        <v>18689824</v>
      </c>
      <c r="Q215" s="1231">
        <f t="shared" si="17"/>
        <v>96.741744626719324</v>
      </c>
      <c r="R215" s="1047"/>
    </row>
    <row r="216" spans="1:18" ht="15">
      <c r="A216" s="1288" t="s">
        <v>1804</v>
      </c>
      <c r="B216" s="956"/>
      <c r="C216" s="1061">
        <v>1</v>
      </c>
      <c r="D216" s="940">
        <v>54459371</v>
      </c>
      <c r="E216" s="1227">
        <f t="shared" si="15"/>
        <v>99.790249320920054</v>
      </c>
      <c r="F216" s="593"/>
      <c r="G216" s="1261" t="s">
        <v>1818</v>
      </c>
      <c r="H216" s="1067"/>
      <c r="I216" s="1061">
        <v>664.1</v>
      </c>
      <c r="J216" s="162">
        <v>200680371</v>
      </c>
      <c r="K216" s="1227">
        <f t="shared" si="16"/>
        <v>58.4970242302808</v>
      </c>
      <c r="L216" s="593"/>
      <c r="M216" s="1261" t="s">
        <v>1812</v>
      </c>
      <c r="N216" s="959"/>
      <c r="O216" s="1060">
        <v>3</v>
      </c>
      <c r="P216" s="162">
        <v>18698245</v>
      </c>
      <c r="Q216" s="1231">
        <f t="shared" si="17"/>
        <v>96.785333171560708</v>
      </c>
      <c r="R216" s="1047"/>
    </row>
    <row r="217" spans="1:18" ht="15">
      <c r="A217" s="1280" t="s">
        <v>1813</v>
      </c>
      <c r="B217" s="956"/>
      <c r="C217" s="1061">
        <v>30.76</v>
      </c>
      <c r="D217" s="162">
        <v>54479920</v>
      </c>
      <c r="E217" s="1227">
        <f t="shared" si="15"/>
        <v>99.827902892667993</v>
      </c>
      <c r="F217" s="593"/>
      <c r="G217" s="1262" t="s">
        <v>1806</v>
      </c>
      <c r="H217" s="963" t="s">
        <v>46</v>
      </c>
      <c r="I217" s="1061">
        <v>281.31</v>
      </c>
      <c r="J217" s="162">
        <v>202048171</v>
      </c>
      <c r="K217" s="1227">
        <f t="shared" si="16"/>
        <v>58.895729043030911</v>
      </c>
      <c r="L217" s="593"/>
      <c r="M217" s="1226" t="s">
        <v>1817</v>
      </c>
      <c r="N217" s="959"/>
      <c r="O217" s="1060">
        <v>14</v>
      </c>
      <c r="P217" s="162">
        <v>18725619</v>
      </c>
      <c r="Q217" s="1231">
        <f t="shared" si="17"/>
        <v>96.927025705284493</v>
      </c>
      <c r="R217" s="1047"/>
    </row>
    <row r="218" spans="1:18" ht="15">
      <c r="A218" s="1280" t="s">
        <v>1812</v>
      </c>
      <c r="B218" s="959"/>
      <c r="C218" s="1060">
        <v>11</v>
      </c>
      <c r="D218" s="940">
        <v>54523435</v>
      </c>
      <c r="E218" s="1227">
        <f t="shared" si="15"/>
        <v>99.907638898050791</v>
      </c>
      <c r="F218" s="593"/>
      <c r="G218" s="1261" t="s">
        <v>1550</v>
      </c>
      <c r="H218" s="956"/>
      <c r="I218" s="1101">
        <v>118</v>
      </c>
      <c r="J218" s="940">
        <v>203155703</v>
      </c>
      <c r="K218" s="1227">
        <f t="shared" si="16"/>
        <v>59.218567424866528</v>
      </c>
      <c r="L218" s="593"/>
      <c r="M218" s="1269" t="s">
        <v>1816</v>
      </c>
      <c r="N218" s="964" t="s">
        <v>46</v>
      </c>
      <c r="O218" s="1061">
        <v>1</v>
      </c>
      <c r="P218" s="162">
        <v>18764305</v>
      </c>
      <c r="Q218" s="1231">
        <f t="shared" si="17"/>
        <v>97.127271097249093</v>
      </c>
      <c r="R218" s="1047"/>
    </row>
    <row r="219" spans="1:18" ht="15">
      <c r="A219" s="1291" t="s">
        <v>1816</v>
      </c>
      <c r="B219" s="964" t="s">
        <v>46</v>
      </c>
      <c r="C219" s="1061">
        <v>2</v>
      </c>
      <c r="D219" s="940">
        <v>54524517</v>
      </c>
      <c r="E219" s="1227">
        <f t="shared" si="15"/>
        <v>99.909621532954247</v>
      </c>
      <c r="F219" s="593"/>
      <c r="G219" s="1261" t="s">
        <v>1812</v>
      </c>
      <c r="H219" s="593"/>
      <c r="I219" s="1060">
        <v>78</v>
      </c>
      <c r="J219" s="162">
        <v>206697499</v>
      </c>
      <c r="K219" s="1227">
        <f t="shared" si="16"/>
        <v>60.250977946126291</v>
      </c>
      <c r="L219" s="593"/>
      <c r="M219" s="1261" t="s">
        <v>1813</v>
      </c>
      <c r="N219" s="603"/>
      <c r="O219" s="1061">
        <v>10.73</v>
      </c>
      <c r="P219" s="162">
        <v>18795200</v>
      </c>
      <c r="Q219" s="1231">
        <f t="shared" si="17"/>
        <v>97.287188932764423</v>
      </c>
      <c r="R219" s="1047"/>
    </row>
    <row r="220" spans="1:18" ht="15">
      <c r="A220" s="1292" t="s">
        <v>926</v>
      </c>
      <c r="B220" s="969" t="s">
        <v>46</v>
      </c>
      <c r="C220" s="1061">
        <v>89.42</v>
      </c>
      <c r="D220" s="162">
        <v>54530318</v>
      </c>
      <c r="E220" s="1227">
        <f t="shared" si="15"/>
        <v>99.920251167958867</v>
      </c>
      <c r="F220" s="593"/>
      <c r="G220" s="1226" t="s">
        <v>1817</v>
      </c>
      <c r="H220" s="959"/>
      <c r="I220" s="1060">
        <v>248</v>
      </c>
      <c r="J220" s="940">
        <v>207261203</v>
      </c>
      <c r="K220" s="1227">
        <f t="shared" si="16"/>
        <v>60.415293999472162</v>
      </c>
      <c r="L220" s="593"/>
      <c r="M220" s="950" t="s">
        <v>1804</v>
      </c>
      <c r="N220" s="956"/>
      <c r="O220" s="1101">
        <v>1</v>
      </c>
      <c r="P220" s="162">
        <v>18809468</v>
      </c>
      <c r="Q220" s="1231">
        <f t="shared" si="17"/>
        <v>97.361042555587943</v>
      </c>
      <c r="R220" s="1047"/>
    </row>
    <row r="221" spans="1:18" ht="15">
      <c r="A221" s="1303" t="s">
        <v>746</v>
      </c>
      <c r="B221" s="956"/>
      <c r="C221" s="1061"/>
      <c r="D221" s="940">
        <v>54573840</v>
      </c>
      <c r="E221" s="1227">
        <f t="shared" si="15"/>
        <v>100</v>
      </c>
      <c r="F221" s="593"/>
      <c r="G221" s="1281" t="s">
        <v>926</v>
      </c>
      <c r="H221" s="969" t="s">
        <v>46</v>
      </c>
      <c r="I221" s="1061">
        <v>105.28</v>
      </c>
      <c r="J221" s="940">
        <v>210336180</v>
      </c>
      <c r="K221" s="1227">
        <f t="shared" si="16"/>
        <v>61.311629815377927</v>
      </c>
      <c r="L221" s="593"/>
      <c r="M221" s="1284" t="s">
        <v>1501</v>
      </c>
      <c r="N221" s="956"/>
      <c r="O221" s="1060">
        <v>7.57</v>
      </c>
      <c r="P221" s="162">
        <v>18829223</v>
      </c>
      <c r="Q221" s="1231">
        <f t="shared" si="17"/>
        <v>97.463297834455247</v>
      </c>
      <c r="R221" s="1047"/>
    </row>
    <row r="222" spans="1:18" ht="15">
      <c r="A222" s="1280" t="s">
        <v>1550</v>
      </c>
      <c r="B222" s="1141"/>
      <c r="C222" s="1061">
        <v>12</v>
      </c>
      <c r="D222" s="945">
        <v>54574002</v>
      </c>
      <c r="E222" s="1227">
        <f t="shared" si="15"/>
        <v>100.00029684552159</v>
      </c>
      <c r="F222" s="593"/>
      <c r="G222" s="1240" t="s">
        <v>979</v>
      </c>
      <c r="H222" s="1141"/>
      <c r="I222" s="1061"/>
      <c r="J222" s="943">
        <v>210810984</v>
      </c>
      <c r="K222" s="1227">
        <f t="shared" si="16"/>
        <v>61.45003209634956</v>
      </c>
      <c r="L222" s="593"/>
      <c r="M222" s="996" t="s">
        <v>1566</v>
      </c>
      <c r="N222" s="1141"/>
      <c r="O222" s="1061">
        <v>29</v>
      </c>
      <c r="P222" s="943">
        <v>18852069</v>
      </c>
      <c r="Q222" s="1231">
        <f t="shared" si="17"/>
        <v>97.581552661132164</v>
      </c>
      <c r="R222" s="1047"/>
    </row>
    <row r="223" spans="1:18" ht="15">
      <c r="A223" s="1280" t="s">
        <v>1817</v>
      </c>
      <c r="B223" s="959"/>
      <c r="C223" s="1060">
        <v>38</v>
      </c>
      <c r="D223" s="940">
        <v>54628890</v>
      </c>
      <c r="E223" s="1227">
        <f t="shared" si="15"/>
        <v>100.1008725059479</v>
      </c>
      <c r="F223" s="593"/>
      <c r="G223" s="1261" t="s">
        <v>1813</v>
      </c>
      <c r="H223" s="956"/>
      <c r="I223" s="1101">
        <v>159.88</v>
      </c>
      <c r="J223" s="162">
        <v>223509568</v>
      </c>
      <c r="K223" s="1227">
        <f t="shared" si="16"/>
        <v>65.151586823584225</v>
      </c>
      <c r="L223" s="593"/>
      <c r="M223" s="1261" t="s">
        <v>1550</v>
      </c>
      <c r="N223" s="957"/>
      <c r="O223" s="1061">
        <v>4</v>
      </c>
      <c r="P223" s="162">
        <v>18854693</v>
      </c>
      <c r="Q223" s="1231">
        <f t="shared" si="17"/>
        <v>97.595134936593965</v>
      </c>
      <c r="R223" s="1047"/>
    </row>
    <row r="224" spans="1:18" ht="15">
      <c r="A224" s="1280" t="s">
        <v>1809</v>
      </c>
      <c r="B224" s="957" t="s">
        <v>46</v>
      </c>
      <c r="C224" s="1061">
        <v>16.25</v>
      </c>
      <c r="D224" s="940">
        <v>54732484</v>
      </c>
      <c r="E224" s="1227">
        <f t="shared" si="15"/>
        <v>100.29069605510625</v>
      </c>
      <c r="F224" s="593"/>
      <c r="G224" s="1284" t="s">
        <v>1501</v>
      </c>
      <c r="H224" s="956"/>
      <c r="I224" s="1061">
        <v>154</v>
      </c>
      <c r="J224" s="162">
        <v>237043057</v>
      </c>
      <c r="K224" s="1227">
        <f t="shared" si="16"/>
        <v>69.096510933542334</v>
      </c>
      <c r="L224" s="593"/>
      <c r="M224" s="1281" t="s">
        <v>926</v>
      </c>
      <c r="N224" s="969" t="s">
        <v>46</v>
      </c>
      <c r="O224" s="1061">
        <v>87.18</v>
      </c>
      <c r="P224" s="162">
        <v>18863708</v>
      </c>
      <c r="Q224" s="1231">
        <f t="shared" si="17"/>
        <v>97.641798127633635</v>
      </c>
      <c r="R224" s="1047"/>
    </row>
    <row r="225" spans="1:18" ht="15">
      <c r="A225" s="1304" t="s">
        <v>1566</v>
      </c>
      <c r="B225" s="1141"/>
      <c r="C225" s="1061">
        <v>107</v>
      </c>
      <c r="D225" s="945">
        <v>54833874</v>
      </c>
      <c r="E225" s="1227">
        <f t="shared" si="15"/>
        <v>100.47648103926717</v>
      </c>
      <c r="F225" s="593"/>
      <c r="G225" s="1241" t="s">
        <v>1809</v>
      </c>
      <c r="H225" s="1072" t="s">
        <v>46</v>
      </c>
      <c r="I225" s="1060">
        <v>73.125</v>
      </c>
      <c r="J225" s="945">
        <v>237189392</v>
      </c>
      <c r="K225" s="1227">
        <f t="shared" si="16"/>
        <v>69.139166635233948</v>
      </c>
      <c r="L225" s="593"/>
      <c r="M225" s="1241" t="s">
        <v>1809</v>
      </c>
      <c r="N225" s="1072" t="s">
        <v>46</v>
      </c>
      <c r="O225" s="1061">
        <v>5.56</v>
      </c>
      <c r="P225" s="943">
        <v>18887835</v>
      </c>
      <c r="Q225" s="1231">
        <f t="shared" si="17"/>
        <v>97.766683630707874</v>
      </c>
      <c r="R225" s="1047"/>
    </row>
    <row r="226" spans="1:18" ht="15">
      <c r="A226" s="1288" t="s">
        <v>1882</v>
      </c>
      <c r="B226" s="1141"/>
      <c r="C226" s="1061"/>
      <c r="D226" s="1002" t="s">
        <v>982</v>
      </c>
      <c r="E226" s="1073"/>
      <c r="F226" s="593"/>
      <c r="G226" s="942" t="s">
        <v>1804</v>
      </c>
      <c r="H226" s="1141"/>
      <c r="I226" s="1101">
        <v>14</v>
      </c>
      <c r="J226" s="162">
        <v>241470498</v>
      </c>
      <c r="K226" s="1227">
        <f t="shared" si="16"/>
        <v>70.38708121784353</v>
      </c>
      <c r="L226" s="593"/>
      <c r="M226" s="99" t="s">
        <v>746</v>
      </c>
      <c r="N226" s="1141"/>
      <c r="O226" s="1060"/>
      <c r="P226" s="943">
        <v>19319296</v>
      </c>
      <c r="Q226" s="1231">
        <f t="shared" si="17"/>
        <v>100</v>
      </c>
      <c r="R226" s="1047"/>
    </row>
    <row r="227" spans="1:18" ht="15">
      <c r="A227" s="1305" t="s">
        <v>977</v>
      </c>
      <c r="B227" s="957"/>
      <c r="C227" s="1061"/>
      <c r="D227" s="986" t="s">
        <v>694</v>
      </c>
      <c r="E227" s="1055"/>
      <c r="F227" s="593"/>
      <c r="G227" s="99" t="s">
        <v>1882</v>
      </c>
      <c r="H227" s="956"/>
      <c r="I227" s="1101"/>
      <c r="J227" s="162">
        <v>343060820</v>
      </c>
      <c r="K227" s="1227">
        <f t="shared" si="16"/>
        <v>100</v>
      </c>
      <c r="L227" s="593"/>
      <c r="M227" s="99" t="s">
        <v>1881</v>
      </c>
      <c r="N227" s="956"/>
      <c r="O227" s="1101"/>
      <c r="P227" s="986" t="s">
        <v>982</v>
      </c>
      <c r="Q227" s="1059"/>
      <c r="R227" s="1047"/>
    </row>
    <row r="228" spans="1:18" ht="15">
      <c r="A228" s="1541"/>
      <c r="B228" s="1077"/>
      <c r="C228" s="1147"/>
      <c r="D228" s="1025"/>
      <c r="E228" s="1542"/>
      <c r="F228" s="593"/>
      <c r="G228" s="56"/>
      <c r="H228" s="1534"/>
      <c r="I228" s="1146"/>
      <c r="J228" s="55"/>
      <c r="K228" s="1543"/>
      <c r="L228" s="593"/>
      <c r="M228" s="56"/>
      <c r="N228" s="1534"/>
      <c r="O228" s="1146"/>
      <c r="P228" s="1025"/>
      <c r="Q228" s="1087"/>
      <c r="R228" s="1047"/>
    </row>
    <row r="229" spans="1:18" ht="15">
      <c r="A229" s="603"/>
      <c r="B229" s="603"/>
      <c r="C229" s="603"/>
      <c r="D229" s="1088"/>
      <c r="E229" s="1086"/>
      <c r="F229" s="593"/>
      <c r="G229" s="1534"/>
      <c r="H229" s="1534"/>
      <c r="I229" s="1534"/>
      <c r="J229" s="596"/>
      <c r="K229" s="1086"/>
      <c r="L229" s="593"/>
      <c r="M229" s="603"/>
      <c r="N229" s="603"/>
      <c r="O229" s="603"/>
      <c r="P229" s="1089"/>
      <c r="Q229" s="1087"/>
      <c r="R229" s="1047"/>
    </row>
    <row r="230" spans="1:18" ht="15">
      <c r="A230" s="1123" t="s">
        <v>980</v>
      </c>
      <c r="B230" s="603"/>
      <c r="C230" s="603"/>
      <c r="D230" s="1088"/>
      <c r="E230" s="1086"/>
      <c r="F230" s="593"/>
      <c r="G230" s="1123" t="s">
        <v>998</v>
      </c>
      <c r="H230" s="1136"/>
      <c r="I230" s="1142"/>
      <c r="J230" s="596"/>
      <c r="K230" s="1086"/>
      <c r="L230" s="593"/>
      <c r="M230" s="603"/>
      <c r="N230" s="603"/>
      <c r="O230" s="603"/>
      <c r="P230" s="1089"/>
      <c r="Q230" s="1087"/>
      <c r="R230" s="1047"/>
    </row>
    <row r="231" spans="1:18" ht="15">
      <c r="A231" s="973" t="s">
        <v>981</v>
      </c>
      <c r="B231" s="1048"/>
      <c r="C231" s="1048"/>
      <c r="D231" s="3157" t="s">
        <v>944</v>
      </c>
      <c r="E231" s="3158"/>
      <c r="F231" s="593"/>
      <c r="G231" s="974" t="s">
        <v>999</v>
      </c>
      <c r="H231" s="588"/>
      <c r="I231" s="588"/>
      <c r="J231" s="3157" t="s">
        <v>920</v>
      </c>
      <c r="K231" s="3158"/>
      <c r="L231" s="593"/>
      <c r="M231" s="588"/>
      <c r="N231" s="588"/>
      <c r="O231" s="588"/>
      <c r="P231" s="3160"/>
      <c r="Q231" s="3160"/>
      <c r="R231" s="1047"/>
    </row>
    <row r="232" spans="1:18" ht="15">
      <c r="A232" s="1301" t="s">
        <v>917</v>
      </c>
      <c r="B232" s="954"/>
      <c r="C232" s="1143">
        <v>500.71</v>
      </c>
      <c r="D232" s="1011">
        <v>69545546</v>
      </c>
      <c r="E232" s="1227">
        <f t="shared" ref="E232:E254" si="18">(D232*100/107213014)</f>
        <v>64.866701723356087</v>
      </c>
      <c r="F232" s="593"/>
      <c r="G232" s="1284" t="s">
        <v>917</v>
      </c>
      <c r="H232" s="1144"/>
      <c r="I232" s="1145">
        <v>455.4</v>
      </c>
      <c r="J232" s="939">
        <v>37373949</v>
      </c>
      <c r="K232" s="1231">
        <f t="shared" ref="K232:K254" si="19">(J232*100/68404936)</f>
        <v>54.636333553473392</v>
      </c>
      <c r="L232" s="593"/>
      <c r="M232" s="593"/>
      <c r="N232" s="603"/>
      <c r="O232" s="1146"/>
      <c r="P232" s="608"/>
      <c r="Q232" s="1087"/>
      <c r="R232" s="1047"/>
    </row>
    <row r="233" spans="1:18" ht="15">
      <c r="A233" s="1280" t="s">
        <v>1819</v>
      </c>
      <c r="B233" s="1078" t="s">
        <v>46</v>
      </c>
      <c r="C233" s="1061">
        <v>13173.65</v>
      </c>
      <c r="D233" s="162">
        <v>100983129</v>
      </c>
      <c r="E233" s="1227">
        <f t="shared" si="18"/>
        <v>94.189245533196186</v>
      </c>
      <c r="F233" s="593"/>
      <c r="G233" s="1222" t="s">
        <v>1815</v>
      </c>
      <c r="H233" s="1556"/>
      <c r="I233" s="1592">
        <v>127.9</v>
      </c>
      <c r="J233" s="1590">
        <v>53663564</v>
      </c>
      <c r="K233" s="1231">
        <f t="shared" si="19"/>
        <v>78.449841689786837</v>
      </c>
      <c r="L233" s="593"/>
      <c r="M233" s="593"/>
      <c r="N233" s="1077"/>
      <c r="O233" s="1146"/>
      <c r="P233" s="55"/>
      <c r="Q233" s="1087"/>
      <c r="R233" s="1047"/>
    </row>
    <row r="234" spans="1:18" ht="15">
      <c r="A234" s="1280" t="s">
        <v>1815</v>
      </c>
      <c r="B234" s="1069"/>
      <c r="C234" s="1061">
        <v>263.3</v>
      </c>
      <c r="D234" s="162">
        <v>101105819</v>
      </c>
      <c r="E234" s="1227">
        <f t="shared" si="18"/>
        <v>94.303681267649097</v>
      </c>
      <c r="F234" s="593"/>
      <c r="G234" s="1591" t="s">
        <v>1242</v>
      </c>
      <c r="H234" s="957" t="s">
        <v>46</v>
      </c>
      <c r="I234" s="1101">
        <v>870.03</v>
      </c>
      <c r="J234" s="162">
        <v>53741882</v>
      </c>
      <c r="K234" s="1231">
        <f t="shared" si="19"/>
        <v>78.564333427634523</v>
      </c>
      <c r="L234" s="593"/>
      <c r="M234" s="56"/>
      <c r="N234" s="56"/>
      <c r="O234" s="1147"/>
      <c r="P234" s="55"/>
      <c r="Q234" s="1087"/>
      <c r="R234" s="1047"/>
    </row>
    <row r="235" spans="1:18" ht="15">
      <c r="A235" s="1296" t="s">
        <v>703</v>
      </c>
      <c r="B235" s="1140"/>
      <c r="C235" s="1061">
        <v>68.14</v>
      </c>
      <c r="D235" s="162">
        <v>101205426</v>
      </c>
      <c r="E235" s="1227">
        <f t="shared" si="18"/>
        <v>94.396586966578511</v>
      </c>
      <c r="F235" s="593"/>
      <c r="G235" s="1226" t="s">
        <v>1819</v>
      </c>
      <c r="H235" s="957" t="s">
        <v>46</v>
      </c>
      <c r="I235" s="1101">
        <v>7493.01</v>
      </c>
      <c r="J235" s="162">
        <v>53743251</v>
      </c>
      <c r="K235" s="1231">
        <f t="shared" si="19"/>
        <v>78.566334745200265</v>
      </c>
      <c r="L235" s="593"/>
      <c r="M235" s="593"/>
      <c r="N235" s="1077"/>
      <c r="O235" s="1147"/>
      <c r="P235" s="596"/>
      <c r="Q235" s="1087"/>
      <c r="R235" s="1047"/>
    </row>
    <row r="236" spans="1:18" ht="15">
      <c r="A236" s="1284" t="s">
        <v>1242</v>
      </c>
      <c r="B236" s="957" t="s">
        <v>46</v>
      </c>
      <c r="C236" s="1148">
        <v>1351.22</v>
      </c>
      <c r="D236" s="943">
        <v>101412307</v>
      </c>
      <c r="E236" s="1227">
        <f t="shared" si="18"/>
        <v>94.589549548527756</v>
      </c>
      <c r="F236" s="593"/>
      <c r="G236" s="1263" t="s">
        <v>1800</v>
      </c>
      <c r="H236" s="957"/>
      <c r="I236" s="1061">
        <v>34</v>
      </c>
      <c r="J236" s="940">
        <v>53912885</v>
      </c>
      <c r="K236" s="1231">
        <f t="shared" si="19"/>
        <v>78.814319773649089</v>
      </c>
      <c r="L236" s="593"/>
      <c r="M236" s="593"/>
      <c r="N236" s="603"/>
      <c r="O236" s="1146"/>
      <c r="P236" s="55"/>
      <c r="Q236" s="1087"/>
      <c r="R236" s="1047"/>
    </row>
    <row r="237" spans="1:18" ht="15">
      <c r="A237" s="1286" t="s">
        <v>1808</v>
      </c>
      <c r="B237" s="957" t="s">
        <v>46</v>
      </c>
      <c r="C237" s="1149">
        <v>116.23</v>
      </c>
      <c r="D237" s="943">
        <v>101908257</v>
      </c>
      <c r="E237" s="1227">
        <f t="shared" si="18"/>
        <v>95.052133316576658</v>
      </c>
      <c r="F237" s="593"/>
      <c r="G237" s="942" t="s">
        <v>703</v>
      </c>
      <c r="H237" s="1140"/>
      <c r="I237" s="1061">
        <v>44.3</v>
      </c>
      <c r="J237" s="943">
        <v>53971499</v>
      </c>
      <c r="K237" s="1231">
        <f t="shared" si="19"/>
        <v>78.900006572625117</v>
      </c>
      <c r="L237" s="593"/>
      <c r="M237" s="593"/>
      <c r="N237" s="603"/>
      <c r="O237" s="1146"/>
      <c r="P237" s="55"/>
      <c r="Q237" s="1087"/>
      <c r="R237" s="1047"/>
    </row>
    <row r="238" spans="1:18" ht="15">
      <c r="A238" s="1287" t="s">
        <v>1800</v>
      </c>
      <c r="B238" s="957"/>
      <c r="C238" s="1150">
        <v>44.9</v>
      </c>
      <c r="D238" s="944">
        <v>101977579</v>
      </c>
      <c r="E238" s="1229">
        <f t="shared" si="18"/>
        <v>95.116791511896125</v>
      </c>
      <c r="F238" s="593"/>
      <c r="G238" s="1261" t="s">
        <v>1849</v>
      </c>
      <c r="H238" s="957" t="s">
        <v>46</v>
      </c>
      <c r="I238" s="1106">
        <v>15</v>
      </c>
      <c r="J238" s="944">
        <v>54082810</v>
      </c>
      <c r="K238" s="1233">
        <f t="shared" si="19"/>
        <v>79.062730209995365</v>
      </c>
      <c r="L238" s="593"/>
      <c r="M238" s="593"/>
      <c r="N238" s="603"/>
      <c r="O238" s="1146"/>
      <c r="P238" s="55"/>
      <c r="Q238" s="1087"/>
      <c r="R238" s="1047"/>
    </row>
    <row r="239" spans="1:18" ht="15">
      <c r="A239" s="1280" t="s">
        <v>1849</v>
      </c>
      <c r="B239" s="1072" t="s">
        <v>46</v>
      </c>
      <c r="C239" s="1149">
        <v>34</v>
      </c>
      <c r="D239" s="945">
        <v>102018432</v>
      </c>
      <c r="E239" s="1228">
        <f t="shared" si="18"/>
        <v>95.154896027827363</v>
      </c>
      <c r="F239" s="593"/>
      <c r="G239" s="1280" t="s">
        <v>1808</v>
      </c>
      <c r="H239" s="957" t="s">
        <v>46</v>
      </c>
      <c r="I239" s="1060">
        <v>226.83</v>
      </c>
      <c r="J239" s="943">
        <v>54096452</v>
      </c>
      <c r="K239" s="1232">
        <f t="shared" si="19"/>
        <v>79.082673215277921</v>
      </c>
      <c r="L239" s="593"/>
      <c r="M239" s="593"/>
      <c r="N239" s="603"/>
      <c r="O239" s="1146"/>
      <c r="P239" s="55"/>
      <c r="Q239" s="1087"/>
      <c r="R239" s="1047"/>
    </row>
    <row r="240" spans="1:18" ht="15">
      <c r="A240" s="1291" t="s">
        <v>1816</v>
      </c>
      <c r="B240" s="964" t="s">
        <v>46</v>
      </c>
      <c r="C240" s="1061">
        <v>5</v>
      </c>
      <c r="D240" s="940">
        <v>102795167</v>
      </c>
      <c r="E240" s="1227">
        <f t="shared" si="18"/>
        <v>95.879374308048085</v>
      </c>
      <c r="F240" s="593"/>
      <c r="G240" s="1001" t="s">
        <v>1566</v>
      </c>
      <c r="H240" s="956"/>
      <c r="I240" s="1101">
        <v>124</v>
      </c>
      <c r="J240" s="162">
        <v>54257029</v>
      </c>
      <c r="K240" s="1231">
        <f t="shared" si="19"/>
        <v>79.317417971124186</v>
      </c>
      <c r="L240" s="593"/>
      <c r="M240" s="56"/>
      <c r="N240" s="1151"/>
      <c r="O240" s="1147"/>
      <c r="P240" s="55"/>
      <c r="Q240" s="1087"/>
      <c r="R240" s="1047"/>
    </row>
    <row r="241" spans="1:18" ht="15">
      <c r="A241" s="1286" t="s">
        <v>146</v>
      </c>
      <c r="B241" s="957"/>
      <c r="C241" s="1071">
        <v>3485.3</v>
      </c>
      <c r="D241" s="979">
        <v>103619769</v>
      </c>
      <c r="E241" s="1227">
        <f t="shared" si="18"/>
        <v>96.648499220439788</v>
      </c>
      <c r="F241" s="593"/>
      <c r="G241" s="1261" t="s">
        <v>1813</v>
      </c>
      <c r="H241" s="956"/>
      <c r="I241" s="1106">
        <v>34.26</v>
      </c>
      <c r="J241" s="979">
        <v>54257029</v>
      </c>
      <c r="K241" s="1231">
        <f t="shared" si="19"/>
        <v>79.317417971124186</v>
      </c>
      <c r="L241" s="593"/>
      <c r="M241" s="56"/>
      <c r="N241" s="1151"/>
      <c r="O241" s="1147"/>
      <c r="P241" s="55"/>
      <c r="Q241" s="1087"/>
      <c r="R241" s="1047"/>
    </row>
    <row r="242" spans="1:18" ht="15">
      <c r="A242" s="1280" t="s">
        <v>1814</v>
      </c>
      <c r="B242" s="1132"/>
      <c r="C242" s="1061">
        <v>1273.78</v>
      </c>
      <c r="D242" s="940">
        <v>103757277</v>
      </c>
      <c r="E242" s="1227">
        <f t="shared" si="18"/>
        <v>96.776756038217528</v>
      </c>
      <c r="F242" s="593"/>
      <c r="G242" s="1269" t="s">
        <v>1816</v>
      </c>
      <c r="H242" s="964" t="s">
        <v>46</v>
      </c>
      <c r="I242" s="1101">
        <v>2</v>
      </c>
      <c r="J242" s="162">
        <v>54284641</v>
      </c>
      <c r="K242" s="1231">
        <f t="shared" si="19"/>
        <v>79.357783479250685</v>
      </c>
      <c r="L242" s="593"/>
      <c r="M242" s="1013"/>
      <c r="N242" s="1013"/>
      <c r="O242" s="1152"/>
      <c r="P242" s="55"/>
      <c r="Q242" s="1087"/>
      <c r="R242" s="1047"/>
    </row>
    <row r="243" spans="1:18" ht="15">
      <c r="A243" s="1306" t="s">
        <v>1566</v>
      </c>
      <c r="B243" s="956"/>
      <c r="C243" s="1061">
        <v>320</v>
      </c>
      <c r="D243" s="940">
        <v>103804011</v>
      </c>
      <c r="E243" s="1227">
        <f t="shared" si="18"/>
        <v>96.820345895695084</v>
      </c>
      <c r="F243" s="593"/>
      <c r="G243" s="1262" t="s">
        <v>1806</v>
      </c>
      <c r="H243" s="963" t="s">
        <v>46</v>
      </c>
      <c r="I243" s="1060">
        <v>35.270000000000003</v>
      </c>
      <c r="J243" s="162">
        <v>54810235</v>
      </c>
      <c r="K243" s="1231">
        <f t="shared" si="19"/>
        <v>80.126140312447632</v>
      </c>
      <c r="L243" s="593"/>
      <c r="M243" s="56"/>
      <c r="N243" s="1077"/>
      <c r="O243" s="1146"/>
      <c r="P243" s="55"/>
      <c r="Q243" s="1087"/>
      <c r="R243" s="1047"/>
    </row>
    <row r="244" spans="1:18" ht="15">
      <c r="A244" s="1280" t="s">
        <v>1818</v>
      </c>
      <c r="B244" s="1067"/>
      <c r="C244" s="1061">
        <v>327.3</v>
      </c>
      <c r="D244" s="940">
        <v>104187553</v>
      </c>
      <c r="E244" s="1227">
        <f t="shared" si="18"/>
        <v>97.178084182951892</v>
      </c>
      <c r="F244" s="593"/>
      <c r="G244" s="1261" t="s">
        <v>1550</v>
      </c>
      <c r="H244" s="956"/>
      <c r="I244" s="1101">
        <v>14</v>
      </c>
      <c r="J244" s="162">
        <v>55475926</v>
      </c>
      <c r="K244" s="1231">
        <f t="shared" si="19"/>
        <v>81.099302541559283</v>
      </c>
      <c r="L244" s="593"/>
      <c r="M244" s="593"/>
      <c r="N244" s="1077"/>
      <c r="O244" s="1153"/>
      <c r="P244" s="55"/>
      <c r="Q244" s="1087"/>
      <c r="R244" s="1047"/>
    </row>
    <row r="245" spans="1:18" ht="15">
      <c r="A245" s="1280" t="s">
        <v>1812</v>
      </c>
      <c r="B245" s="959"/>
      <c r="C245" s="1060">
        <v>30</v>
      </c>
      <c r="D245" s="940">
        <v>104786602</v>
      </c>
      <c r="E245" s="1227">
        <f t="shared" si="18"/>
        <v>97.736830717211248</v>
      </c>
      <c r="F245" s="593"/>
      <c r="G245" s="1281" t="s">
        <v>926</v>
      </c>
      <c r="H245" s="969" t="s">
        <v>46</v>
      </c>
      <c r="I245" s="1101">
        <v>87.44</v>
      </c>
      <c r="J245" s="162">
        <v>59293724</v>
      </c>
      <c r="K245" s="1231">
        <f t="shared" si="19"/>
        <v>86.680475806599688</v>
      </c>
      <c r="L245" s="593"/>
      <c r="M245" s="593"/>
      <c r="N245" s="593"/>
      <c r="O245" s="1154"/>
      <c r="P245" s="55"/>
      <c r="Q245" s="1087"/>
      <c r="R245" s="1047"/>
    </row>
    <row r="246" spans="1:18" ht="15">
      <c r="A246" s="1284" t="s">
        <v>1806</v>
      </c>
      <c r="B246" s="963" t="s">
        <v>46</v>
      </c>
      <c r="C246" s="1061">
        <v>116.22</v>
      </c>
      <c r="D246" s="940">
        <v>105309611</v>
      </c>
      <c r="E246" s="1227">
        <f t="shared" si="18"/>
        <v>98.224653025797778</v>
      </c>
      <c r="F246" s="593"/>
      <c r="G246" s="1267" t="s">
        <v>1814</v>
      </c>
      <c r="H246" s="959"/>
      <c r="I246" s="1060">
        <v>627.66999999999996</v>
      </c>
      <c r="J246" s="162">
        <v>60564488</v>
      </c>
      <c r="K246" s="1231">
        <f t="shared" si="19"/>
        <v>88.538183852697415</v>
      </c>
      <c r="L246" s="593"/>
      <c r="M246" s="593"/>
      <c r="N246" s="593"/>
      <c r="O246" s="1154"/>
      <c r="P246" s="55"/>
      <c r="Q246" s="1087"/>
      <c r="R246" s="1047"/>
    </row>
    <row r="247" spans="1:18" ht="15">
      <c r="A247" s="1288" t="s">
        <v>1804</v>
      </c>
      <c r="B247" s="603"/>
      <c r="C247" s="1061">
        <v>2</v>
      </c>
      <c r="D247" s="940">
        <v>105648300</v>
      </c>
      <c r="E247" s="1227">
        <f t="shared" si="18"/>
        <v>98.540555906767068</v>
      </c>
      <c r="F247" s="593"/>
      <c r="G247" s="1261" t="s">
        <v>1818</v>
      </c>
      <c r="H247" s="1013"/>
      <c r="I247" s="1061">
        <v>138.80000000000001</v>
      </c>
      <c r="J247" s="162">
        <v>64422806</v>
      </c>
      <c r="K247" s="1231">
        <f t="shared" si="19"/>
        <v>94.178592609164923</v>
      </c>
      <c r="L247" s="593"/>
      <c r="M247" s="56"/>
      <c r="N247" s="603"/>
      <c r="O247" s="1146"/>
      <c r="P247" s="55"/>
      <c r="Q247" s="1087"/>
      <c r="R247" s="1047"/>
    </row>
    <row r="248" spans="1:18" ht="15">
      <c r="A248" s="1292" t="s">
        <v>926</v>
      </c>
      <c r="B248" s="969" t="s">
        <v>46</v>
      </c>
      <c r="C248" s="1061">
        <v>98.31</v>
      </c>
      <c r="D248" s="940">
        <v>105764814</v>
      </c>
      <c r="E248" s="1227">
        <f t="shared" si="18"/>
        <v>98.649231146509877</v>
      </c>
      <c r="F248" s="593"/>
      <c r="G248" s="1261" t="s">
        <v>1812</v>
      </c>
      <c r="H248" s="959"/>
      <c r="I248" s="1060">
        <v>13</v>
      </c>
      <c r="J248" s="162">
        <v>64428975</v>
      </c>
      <c r="K248" s="1231">
        <f t="shared" si="19"/>
        <v>94.187610964214628</v>
      </c>
      <c r="L248" s="593"/>
      <c r="M248" s="56"/>
      <c r="N248" s="603"/>
      <c r="O248" s="1146"/>
      <c r="P248" s="55"/>
      <c r="Q248" s="1087"/>
      <c r="R248" s="1047"/>
    </row>
    <row r="249" spans="1:18" ht="15">
      <c r="A249" s="1280" t="s">
        <v>1817</v>
      </c>
      <c r="B249" s="959"/>
      <c r="C249" s="1060">
        <v>94</v>
      </c>
      <c r="D249" s="162">
        <v>105783388</v>
      </c>
      <c r="E249" s="1227">
        <f t="shared" si="18"/>
        <v>98.666555535879255</v>
      </c>
      <c r="F249" s="593"/>
      <c r="G249" s="1226" t="s">
        <v>1817</v>
      </c>
      <c r="H249" s="959"/>
      <c r="I249" s="1060">
        <v>45</v>
      </c>
      <c r="J249" s="162">
        <v>64594349</v>
      </c>
      <c r="K249" s="1231">
        <f t="shared" si="19"/>
        <v>94.429368371896445</v>
      </c>
      <c r="L249" s="593"/>
      <c r="M249" s="603"/>
      <c r="N249" s="1077"/>
      <c r="O249" s="1146"/>
      <c r="P249" s="55"/>
      <c r="Q249" s="1087"/>
      <c r="R249" s="1047"/>
    </row>
    <row r="250" spans="1:18" ht="15">
      <c r="A250" s="1280" t="s">
        <v>1550</v>
      </c>
      <c r="B250" s="956"/>
      <c r="C250" s="1061">
        <v>29</v>
      </c>
      <c r="D250" s="940">
        <v>105945365</v>
      </c>
      <c r="E250" s="1227">
        <f t="shared" si="18"/>
        <v>98.817635142688928</v>
      </c>
      <c r="F250" s="593"/>
      <c r="G250" s="1578" t="s">
        <v>146</v>
      </c>
      <c r="H250" s="956"/>
      <c r="I250" s="1101">
        <v>1897.3</v>
      </c>
      <c r="J250" s="162">
        <v>64789081</v>
      </c>
      <c r="K250" s="1231">
        <f t="shared" si="19"/>
        <v>94.714043735089533</v>
      </c>
      <c r="L250" s="593"/>
      <c r="M250" s="593"/>
      <c r="N250" s="1077"/>
      <c r="O250" s="1146"/>
      <c r="P250" s="55"/>
      <c r="Q250" s="1087"/>
      <c r="R250" s="1047"/>
    </row>
    <row r="251" spans="1:18" ht="15">
      <c r="A251" s="1280" t="s">
        <v>1813</v>
      </c>
      <c r="B251" s="956"/>
      <c r="C251" s="1061">
        <v>53.52</v>
      </c>
      <c r="D251" s="940">
        <v>106420864</v>
      </c>
      <c r="E251" s="1227">
        <f t="shared" si="18"/>
        <v>99.261143801068783</v>
      </c>
      <c r="F251" s="593"/>
      <c r="G251" s="1007" t="s">
        <v>1804</v>
      </c>
      <c r="H251" s="956"/>
      <c r="I251" s="1101">
        <v>1</v>
      </c>
      <c r="J251" s="162">
        <v>67021352</v>
      </c>
      <c r="K251" s="1231">
        <f t="shared" si="19"/>
        <v>97.977362335372987</v>
      </c>
      <c r="L251" s="593"/>
      <c r="M251" s="56"/>
      <c r="N251" s="603"/>
      <c r="O251" s="1146"/>
      <c r="P251" s="55"/>
      <c r="Q251" s="1087"/>
      <c r="R251" s="1047"/>
    </row>
    <row r="252" spans="1:18" ht="15">
      <c r="A252" s="1284" t="s">
        <v>1501</v>
      </c>
      <c r="B252" s="1141"/>
      <c r="C252" s="1061">
        <v>47.45</v>
      </c>
      <c r="D252" s="945">
        <v>106837861</v>
      </c>
      <c r="E252" s="1227">
        <f t="shared" si="18"/>
        <v>99.65008632254289</v>
      </c>
      <c r="F252" s="593"/>
      <c r="G252" s="1242" t="s">
        <v>1809</v>
      </c>
      <c r="H252" s="1072" t="s">
        <v>46</v>
      </c>
      <c r="I252" s="1061">
        <v>19.7</v>
      </c>
      <c r="J252" s="943">
        <v>67771285</v>
      </c>
      <c r="K252" s="1231">
        <f t="shared" si="19"/>
        <v>99.073676496093796</v>
      </c>
      <c r="L252" s="593"/>
      <c r="M252" s="56"/>
      <c r="N252" s="603"/>
      <c r="O252" s="1146"/>
      <c r="P252" s="55"/>
      <c r="Q252" s="1087"/>
      <c r="R252" s="1047"/>
    </row>
    <row r="253" spans="1:18" ht="15">
      <c r="A253" s="1280" t="s">
        <v>1809</v>
      </c>
      <c r="B253" s="1072" t="s">
        <v>46</v>
      </c>
      <c r="C253" s="1061">
        <v>31.4</v>
      </c>
      <c r="D253" s="943">
        <v>106839872</v>
      </c>
      <c r="E253" s="1227">
        <f t="shared" si="18"/>
        <v>99.651962027669512</v>
      </c>
      <c r="F253" s="593"/>
      <c r="G253" s="1284" t="s">
        <v>1501</v>
      </c>
      <c r="H253" s="1141"/>
      <c r="I253" s="1101">
        <v>31.63</v>
      </c>
      <c r="J253" s="943">
        <v>67813849</v>
      </c>
      <c r="K253" s="1231">
        <f t="shared" si="19"/>
        <v>99.135900075982818</v>
      </c>
      <c r="L253" s="593"/>
      <c r="M253" s="56"/>
      <c r="N253" s="603"/>
      <c r="O253" s="1146"/>
      <c r="P253" s="55"/>
      <c r="Q253" s="1087"/>
      <c r="R253" s="1047"/>
    </row>
    <row r="254" spans="1:18" ht="15">
      <c r="A254" s="1288" t="s">
        <v>746</v>
      </c>
      <c r="B254" s="956"/>
      <c r="C254" s="1061"/>
      <c r="D254" s="940">
        <v>107213014</v>
      </c>
      <c r="E254" s="1227">
        <f t="shared" si="18"/>
        <v>100</v>
      </c>
      <c r="F254" s="593"/>
      <c r="G254" s="99" t="s">
        <v>746</v>
      </c>
      <c r="H254" s="956"/>
      <c r="I254" s="1101"/>
      <c r="J254" s="162">
        <v>68404936</v>
      </c>
      <c r="K254" s="1231">
        <f t="shared" si="19"/>
        <v>100</v>
      </c>
      <c r="L254" s="593"/>
      <c r="M254" s="603"/>
      <c r="N254" s="603"/>
      <c r="O254" s="1146"/>
      <c r="P254" s="55"/>
      <c r="Q254" s="1087"/>
      <c r="R254" s="1047"/>
    </row>
    <row r="255" spans="1:18" ht="15">
      <c r="A255" s="1033"/>
      <c r="B255" s="1033"/>
      <c r="C255" s="1033"/>
      <c r="D255" s="1033"/>
      <c r="E255" s="1046"/>
      <c r="F255" s="1033"/>
      <c r="G255" s="56"/>
      <c r="H255" s="56"/>
      <c r="I255" s="56"/>
      <c r="J255" s="1088"/>
      <c r="K255" s="1086"/>
      <c r="L255" s="1033"/>
      <c r="M255" s="1033"/>
      <c r="N255" s="1033"/>
      <c r="O255" s="1033"/>
      <c r="P255" s="1033"/>
      <c r="Q255" s="1046"/>
      <c r="R255" s="1047"/>
    </row>
    <row r="256" spans="1:18" ht="17.25">
      <c r="A256" s="1033"/>
      <c r="B256" s="1355" t="s">
        <v>1821</v>
      </c>
      <c r="C256" s="1033"/>
      <c r="D256" s="1033"/>
      <c r="E256" s="1046"/>
      <c r="F256" s="1033"/>
      <c r="G256" s="56"/>
      <c r="H256" s="56"/>
      <c r="I256" s="56"/>
      <c r="J256" s="1088"/>
      <c r="K256" s="1086"/>
      <c r="L256" s="1033"/>
      <c r="M256" s="1033"/>
      <c r="N256" s="1033"/>
      <c r="O256" s="1033"/>
      <c r="P256" s="1033"/>
      <c r="Q256" s="1046"/>
      <c r="R256" s="1047"/>
    </row>
    <row r="257" spans="1:18" ht="17.25">
      <c r="A257" s="593"/>
      <c r="B257" s="627" t="s">
        <v>1645</v>
      </c>
      <c r="C257" s="593"/>
      <c r="D257" s="55"/>
      <c r="E257" s="1086"/>
      <c r="F257" s="1033"/>
      <c r="G257" s="1356"/>
      <c r="H257" s="1356"/>
      <c r="I257" s="1356"/>
      <c r="J257" s="1356"/>
      <c r="K257" s="1356"/>
      <c r="L257" s="1356"/>
      <c r="M257" s="1356"/>
      <c r="N257" s="603"/>
      <c r="O257" s="603"/>
      <c r="P257" s="1089"/>
      <c r="Q257" s="1087"/>
      <c r="R257" s="1047"/>
    </row>
    <row r="258" spans="1:18" ht="17.25">
      <c r="A258" s="593"/>
      <c r="B258" s="64" t="s">
        <v>1859</v>
      </c>
      <c r="C258" s="593"/>
      <c r="D258" s="55"/>
      <c r="E258" s="1086"/>
      <c r="F258" s="1033"/>
      <c r="G258" s="989"/>
      <c r="H258" s="989"/>
      <c r="I258" s="989"/>
      <c r="J258" s="989"/>
      <c r="K258" s="989"/>
      <c r="L258" s="989"/>
      <c r="M258" s="989"/>
      <c r="N258" s="603"/>
      <c r="O258" s="603"/>
      <c r="P258" s="1089"/>
      <c r="Q258" s="1087"/>
      <c r="R258" s="1047"/>
    </row>
    <row r="259" spans="1:18" ht="17.25">
      <c r="A259" s="593"/>
      <c r="B259" s="64"/>
      <c r="C259" s="593"/>
      <c r="D259" s="55"/>
      <c r="E259" s="1086"/>
      <c r="F259" s="1033"/>
      <c r="G259" s="989"/>
      <c r="H259" s="989"/>
      <c r="I259" s="989"/>
      <c r="J259" s="989"/>
      <c r="K259" s="989"/>
      <c r="L259" s="989"/>
      <c r="M259" s="989"/>
      <c r="N259" s="1389"/>
      <c r="O259" s="1389"/>
      <c r="P259" s="1089"/>
      <c r="Q259" s="1087"/>
      <c r="R259" s="1047"/>
    </row>
    <row r="260" spans="1:18" ht="17.25">
      <c r="A260" s="593"/>
      <c r="B260" s="64"/>
      <c r="C260" s="593"/>
      <c r="D260" s="55"/>
      <c r="E260" s="1086"/>
      <c r="F260" s="1033"/>
      <c r="G260" s="989"/>
      <c r="H260" s="989"/>
      <c r="I260" s="989"/>
      <c r="J260" s="989"/>
      <c r="K260" s="989"/>
      <c r="L260" s="989"/>
      <c r="M260" s="989"/>
      <c r="N260" s="1389"/>
      <c r="O260" s="1389"/>
      <c r="P260" s="1089"/>
      <c r="Q260" s="1087"/>
      <c r="R260" s="1047"/>
    </row>
    <row r="261" spans="1:18" ht="20.25">
      <c r="A261" s="1545" t="s">
        <v>1836</v>
      </c>
      <c r="B261" s="1033"/>
      <c r="C261" s="1033"/>
      <c r="D261" s="1033"/>
      <c r="E261" s="1046"/>
      <c r="F261" s="1033"/>
      <c r="G261" s="989"/>
      <c r="H261" s="989"/>
      <c r="I261" s="989"/>
      <c r="J261" s="989"/>
      <c r="K261" s="989"/>
      <c r="L261" s="989"/>
      <c r="M261" s="989"/>
      <c r="N261" s="1033"/>
      <c r="O261" s="1033"/>
      <c r="P261" s="1033"/>
      <c r="Q261" s="1046"/>
      <c r="R261" s="1047"/>
    </row>
    <row r="262" spans="1:18" ht="15.75" thickBot="1">
      <c r="A262" s="1090"/>
      <c r="B262" s="1090"/>
      <c r="C262" s="1090"/>
      <c r="D262" s="1090"/>
      <c r="E262" s="1091"/>
      <c r="F262" s="1090"/>
      <c r="G262" s="990"/>
      <c r="H262" s="990"/>
      <c r="I262" s="990"/>
      <c r="J262" s="990"/>
      <c r="K262" s="990"/>
      <c r="L262" s="990"/>
      <c r="M262" s="990"/>
      <c r="N262" s="1090"/>
      <c r="O262" s="1090"/>
      <c r="P262" s="1090"/>
      <c r="Q262" s="1091"/>
      <c r="R262" s="1047"/>
    </row>
    <row r="263" spans="1:18" ht="15.75" thickTop="1">
      <c r="A263" s="1534"/>
      <c r="B263" s="1534"/>
      <c r="C263" s="1534"/>
      <c r="D263" s="1534"/>
      <c r="E263" s="1210"/>
      <c r="F263" s="1534"/>
      <c r="G263" s="989"/>
      <c r="H263" s="989"/>
      <c r="I263" s="989"/>
      <c r="J263" s="989"/>
      <c r="K263" s="989"/>
      <c r="L263" s="989"/>
      <c r="M263" s="989"/>
      <c r="N263" s="1534"/>
      <c r="O263" s="1534"/>
      <c r="P263" s="1534"/>
      <c r="Q263" s="1210"/>
      <c r="R263" s="1047"/>
    </row>
    <row r="264" spans="1:18" ht="15">
      <c r="A264" s="1372" t="s">
        <v>1850</v>
      </c>
      <c r="B264" s="593"/>
      <c r="C264" s="593"/>
      <c r="D264" s="55"/>
      <c r="E264" s="1086"/>
      <c r="F264" s="1033"/>
      <c r="G264" s="1372" t="s">
        <v>1843</v>
      </c>
      <c r="H264" s="1109"/>
      <c r="I264" s="593"/>
      <c r="J264" s="55"/>
      <c r="K264" s="1086"/>
      <c r="L264" s="1033"/>
      <c r="M264" s="1402" t="s">
        <v>1837</v>
      </c>
      <c r="N264" s="1136"/>
      <c r="O264" s="1389"/>
      <c r="P264" s="1089"/>
      <c r="Q264" s="1087"/>
      <c r="R264" s="1047"/>
    </row>
    <row r="265" spans="1:18" ht="15">
      <c r="A265" s="1014" t="s">
        <v>1846</v>
      </c>
      <c r="B265" s="1155"/>
      <c r="C265" s="1156"/>
      <c r="D265" s="1388"/>
      <c r="E265" s="1388"/>
      <c r="F265" s="1033"/>
      <c r="G265" s="975" t="s">
        <v>1842</v>
      </c>
      <c r="H265" s="1052"/>
      <c r="I265" s="1157"/>
      <c r="J265" s="1387"/>
      <c r="K265" s="1387"/>
      <c r="L265" s="989"/>
      <c r="M265" s="975" t="s">
        <v>1838</v>
      </c>
      <c r="N265" s="1052"/>
      <c r="O265" s="1157"/>
      <c r="P265" s="1387"/>
      <c r="Q265" s="1387"/>
      <c r="R265" s="1047"/>
    </row>
    <row r="266" spans="1:18" ht="15">
      <c r="A266" s="1428" t="s">
        <v>1815</v>
      </c>
      <c r="B266" s="1429"/>
      <c r="C266" s="1159">
        <v>8.73</v>
      </c>
      <c r="D266" s="1015">
        <v>5692994</v>
      </c>
      <c r="E266" s="1243">
        <f t="shared" ref="E266:E292" si="20">(D266*100/10014985)</f>
        <v>56.844758129942278</v>
      </c>
      <c r="F266" s="593"/>
      <c r="G266" s="1428" t="s">
        <v>1815</v>
      </c>
      <c r="H266" s="1429"/>
      <c r="I266" s="1054">
        <v>21.95</v>
      </c>
      <c r="J266" s="1009">
        <v>14478940</v>
      </c>
      <c r="K266" s="1231">
        <f t="shared" ref="K266:K292" si="21">(J266*100/28849939)</f>
        <v>50.187073185839317</v>
      </c>
      <c r="L266" s="593"/>
      <c r="M266" s="1428" t="s">
        <v>1819</v>
      </c>
      <c r="N266" s="1158" t="s">
        <v>46</v>
      </c>
      <c r="O266" s="1432">
        <v>1542.5</v>
      </c>
      <c r="P266" s="1433">
        <v>7279096</v>
      </c>
      <c r="Q266" s="1231">
        <f t="shared" ref="Q266:Q292" si="22">(P266*100/15421279)</f>
        <v>47.20163612888399</v>
      </c>
      <c r="R266" s="1047"/>
    </row>
    <row r="267" spans="1:18" ht="15">
      <c r="A267" s="1410" t="s">
        <v>146</v>
      </c>
      <c r="B267" s="1413"/>
      <c r="C267" s="1070">
        <v>122.4</v>
      </c>
      <c r="D267" s="1427">
        <v>5915140</v>
      </c>
      <c r="E267" s="1243">
        <f t="shared" si="20"/>
        <v>59.062894252961939</v>
      </c>
      <c r="F267" s="593"/>
      <c r="G267" s="1304" t="s">
        <v>1847</v>
      </c>
      <c r="H267" s="1403"/>
      <c r="I267" s="1070">
        <v>5</v>
      </c>
      <c r="J267" s="1400">
        <v>14622822</v>
      </c>
      <c r="K267" s="1231">
        <f t="shared" si="21"/>
        <v>50.685798677078658</v>
      </c>
      <c r="L267" s="593"/>
      <c r="M267" s="1411" t="s">
        <v>1242</v>
      </c>
      <c r="N267" s="1403" t="s">
        <v>46</v>
      </c>
      <c r="O267" s="1417">
        <v>205.9</v>
      </c>
      <c r="P267" s="1400">
        <v>7529877</v>
      </c>
      <c r="Q267" s="1231">
        <f t="shared" si="22"/>
        <v>48.827837172260487</v>
      </c>
      <c r="R267" s="1047"/>
    </row>
    <row r="268" spans="1:18" ht="15">
      <c r="A268" s="1410" t="s">
        <v>1818</v>
      </c>
      <c r="B268" s="1421"/>
      <c r="C268" s="1070">
        <v>18.600000000000001</v>
      </c>
      <c r="D268" s="1400">
        <v>6278402</v>
      </c>
      <c r="E268" s="1243">
        <f t="shared" si="20"/>
        <v>62.690078916743261</v>
      </c>
      <c r="F268" s="593"/>
      <c r="G268" s="1406" t="s">
        <v>1839</v>
      </c>
      <c r="H268" s="1403"/>
      <c r="I268" s="1323"/>
      <c r="J268" s="1400">
        <v>14819738</v>
      </c>
      <c r="K268" s="1231">
        <f t="shared" si="21"/>
        <v>51.368351246773869</v>
      </c>
      <c r="L268" s="593"/>
      <c r="M268" s="1410" t="s">
        <v>146</v>
      </c>
      <c r="N268" s="1413"/>
      <c r="O268" s="1417">
        <v>198.7</v>
      </c>
      <c r="P268" s="1400">
        <v>7735396</v>
      </c>
      <c r="Q268" s="1231">
        <f t="shared" si="22"/>
        <v>50.160534674199205</v>
      </c>
      <c r="R268" s="1047"/>
    </row>
    <row r="269" spans="1:18" ht="15">
      <c r="A269" s="1410" t="s">
        <v>1817</v>
      </c>
      <c r="B269" s="1422"/>
      <c r="C269" s="1071">
        <v>3</v>
      </c>
      <c r="D269" s="1400">
        <v>6352404</v>
      </c>
      <c r="E269" s="1243">
        <f t="shared" si="20"/>
        <v>63.428991656003475</v>
      </c>
      <c r="F269" s="593"/>
      <c r="G269" s="1410" t="s">
        <v>1819</v>
      </c>
      <c r="H269" s="1403" t="s">
        <v>46</v>
      </c>
      <c r="I269" s="1070">
        <v>3108.58</v>
      </c>
      <c r="J269" s="1400">
        <v>15086746</v>
      </c>
      <c r="K269" s="1231">
        <f t="shared" si="21"/>
        <v>52.293857536405881</v>
      </c>
      <c r="L269" s="593"/>
      <c r="M269" s="1406" t="s">
        <v>1844</v>
      </c>
      <c r="N269" s="1404"/>
      <c r="O269" s="1405"/>
      <c r="P269" s="1400">
        <v>7813711</v>
      </c>
      <c r="Q269" s="1231">
        <f t="shared" si="22"/>
        <v>50.668371929461884</v>
      </c>
      <c r="R269" s="1047"/>
    </row>
    <row r="270" spans="1:18" ht="15">
      <c r="A270" s="1410" t="s">
        <v>1819</v>
      </c>
      <c r="B270" s="1403" t="s">
        <v>46</v>
      </c>
      <c r="C270" s="1070">
        <v>1068.3800000000001</v>
      </c>
      <c r="D270" s="1400">
        <v>6380820</v>
      </c>
      <c r="E270" s="1243">
        <f t="shared" si="20"/>
        <v>63.712726479370666</v>
      </c>
      <c r="F270" s="593"/>
      <c r="G270" s="1411" t="s">
        <v>1242</v>
      </c>
      <c r="H270" s="1403" t="s">
        <v>46</v>
      </c>
      <c r="I270" s="1070">
        <v>395.98</v>
      </c>
      <c r="J270" s="1400">
        <v>15647331</v>
      </c>
      <c r="K270" s="1231">
        <f t="shared" si="21"/>
        <v>54.23696389791327</v>
      </c>
      <c r="L270" s="593"/>
      <c r="M270" s="1303" t="s">
        <v>703</v>
      </c>
      <c r="N270" s="1415"/>
      <c r="O270" s="1401">
        <v>7.2</v>
      </c>
      <c r="P270" s="1400">
        <v>7900729</v>
      </c>
      <c r="Q270" s="1231">
        <f t="shared" si="22"/>
        <v>51.232644192482347</v>
      </c>
      <c r="R270" s="1047"/>
    </row>
    <row r="271" spans="1:18" ht="15">
      <c r="A271" s="1288" t="s">
        <v>703</v>
      </c>
      <c r="B271" s="1424"/>
      <c r="C271" s="1070">
        <v>5.2</v>
      </c>
      <c r="D271" s="1016">
        <v>6382363</v>
      </c>
      <c r="E271" s="1243">
        <f t="shared" si="20"/>
        <v>63.728133392111921</v>
      </c>
      <c r="F271" s="1033"/>
      <c r="G271" s="1288" t="s">
        <v>703</v>
      </c>
      <c r="H271" s="1424"/>
      <c r="I271" s="1061">
        <v>14</v>
      </c>
      <c r="J271" s="162">
        <v>15841168</v>
      </c>
      <c r="K271" s="1231">
        <f t="shared" si="21"/>
        <v>54.9088440013686</v>
      </c>
      <c r="L271" s="989"/>
      <c r="M271" s="1412" t="s">
        <v>1839</v>
      </c>
      <c r="N271" s="1414"/>
      <c r="O271" s="1405"/>
      <c r="P271" s="1400">
        <v>7917749</v>
      </c>
      <c r="Q271" s="1231">
        <f t="shared" si="22"/>
        <v>51.343011173068071</v>
      </c>
      <c r="R271" s="1047"/>
    </row>
    <row r="272" spans="1:18" ht="15">
      <c r="A272" s="1412" t="s">
        <v>1839</v>
      </c>
      <c r="B272" s="1420"/>
      <c r="C272" s="1070"/>
      <c r="D272" s="1016">
        <v>6413836</v>
      </c>
      <c r="E272" s="1243">
        <f t="shared" si="20"/>
        <v>64.042392474876394</v>
      </c>
      <c r="F272" s="1033"/>
      <c r="G272" s="1280" t="s">
        <v>1818</v>
      </c>
      <c r="H272" s="1067"/>
      <c r="I272" s="1061">
        <v>50.6</v>
      </c>
      <c r="J272" s="162">
        <v>15965668</v>
      </c>
      <c r="K272" s="1231">
        <f t="shared" si="21"/>
        <v>55.340387374822527</v>
      </c>
      <c r="L272" s="989"/>
      <c r="M272" s="1280" t="s">
        <v>1815</v>
      </c>
      <c r="N272" s="1161"/>
      <c r="O272" s="1401">
        <v>22.08</v>
      </c>
      <c r="P272" s="1400">
        <v>7948518</v>
      </c>
      <c r="Q272" s="1231">
        <f t="shared" si="22"/>
        <v>51.542534182800274</v>
      </c>
      <c r="R272" s="1047"/>
    </row>
    <row r="273" spans="1:18" ht="15">
      <c r="A273" s="1290" t="s">
        <v>1813</v>
      </c>
      <c r="B273" s="1178"/>
      <c r="C273" s="1070">
        <v>2.2389999999999999</v>
      </c>
      <c r="D273" s="1016">
        <v>6478512</v>
      </c>
      <c r="E273" s="1243">
        <f t="shared" si="20"/>
        <v>64.68818475514442</v>
      </c>
      <c r="F273" s="1033"/>
      <c r="G273" s="1290" t="s">
        <v>1813</v>
      </c>
      <c r="H273" s="1178"/>
      <c r="I273" s="1163">
        <v>7.5</v>
      </c>
      <c r="J273" s="1018">
        <v>16235088</v>
      </c>
      <c r="K273" s="1231">
        <f t="shared" si="21"/>
        <v>56.274254167400493</v>
      </c>
      <c r="L273" s="989"/>
      <c r="M273" s="1306" t="s">
        <v>1847</v>
      </c>
      <c r="N273" s="1160"/>
      <c r="O273" s="1401">
        <v>3.7</v>
      </c>
      <c r="P273" s="1400">
        <v>8081027</v>
      </c>
      <c r="Q273" s="1231">
        <f t="shared" si="22"/>
        <v>52.401794948395654</v>
      </c>
      <c r="R273" s="1047"/>
    </row>
    <row r="274" spans="1:18" ht="15">
      <c r="A274" s="1284" t="s">
        <v>1242</v>
      </c>
      <c r="B274" s="963" t="s">
        <v>46</v>
      </c>
      <c r="C274" s="1401">
        <v>140.38</v>
      </c>
      <c r="D274" s="944">
        <v>6582268</v>
      </c>
      <c r="E274" s="1243">
        <f t="shared" si="20"/>
        <v>65.724192297841682</v>
      </c>
      <c r="F274" s="1033"/>
      <c r="G274" s="1280" t="s">
        <v>1817</v>
      </c>
      <c r="H274" s="1066"/>
      <c r="I274" s="1167">
        <v>9</v>
      </c>
      <c r="J274" s="1019">
        <v>16598574</v>
      </c>
      <c r="K274" s="1231">
        <f t="shared" si="21"/>
        <v>57.534173642446866</v>
      </c>
      <c r="L274" s="989"/>
      <c r="M274" s="1280" t="s">
        <v>1818</v>
      </c>
      <c r="N274" s="961"/>
      <c r="O274" s="1167">
        <v>23.5</v>
      </c>
      <c r="P274" s="1409">
        <v>8096818</v>
      </c>
      <c r="Q274" s="1231">
        <f t="shared" si="22"/>
        <v>52.504192421393839</v>
      </c>
      <c r="R274" s="1047"/>
    </row>
    <row r="275" spans="1:18" ht="15">
      <c r="A275" s="1286" t="s">
        <v>1812</v>
      </c>
      <c r="B275" s="1425"/>
      <c r="C275" s="1426">
        <v>1</v>
      </c>
      <c r="D275" s="1020">
        <v>6632147</v>
      </c>
      <c r="E275" s="1243">
        <f t="shared" si="20"/>
        <v>66.222235979384891</v>
      </c>
      <c r="F275" s="1033"/>
      <c r="G275" s="1286" t="s">
        <v>146</v>
      </c>
      <c r="H275" s="966"/>
      <c r="I275" s="1070">
        <v>370.9</v>
      </c>
      <c r="J275" s="1018">
        <v>16856563</v>
      </c>
      <c r="K275" s="1231">
        <f t="shared" si="21"/>
        <v>58.428418167539277</v>
      </c>
      <c r="L275" s="989"/>
      <c r="M275" s="1407" t="s">
        <v>1800</v>
      </c>
      <c r="N275" s="969"/>
      <c r="O275" s="1163">
        <v>12.5</v>
      </c>
      <c r="P275" s="1018">
        <v>8183390</v>
      </c>
      <c r="Q275" s="1231">
        <f t="shared" si="22"/>
        <v>53.065572576697434</v>
      </c>
      <c r="R275" s="1047"/>
    </row>
    <row r="276" spans="1:18" ht="15">
      <c r="A276" s="1418" t="s">
        <v>1844</v>
      </c>
      <c r="B276" s="1420"/>
      <c r="C276" s="1070"/>
      <c r="D276" s="979">
        <v>6673536</v>
      </c>
      <c r="E276" s="1243">
        <f t="shared" si="20"/>
        <v>66.635506693220208</v>
      </c>
      <c r="F276" s="1033"/>
      <c r="G276" s="1418" t="s">
        <v>1844</v>
      </c>
      <c r="H276" s="957"/>
      <c r="I276" s="1430"/>
      <c r="J276" s="979">
        <v>16940400</v>
      </c>
      <c r="K276" s="1231">
        <f t="shared" si="21"/>
        <v>58.719014969147771</v>
      </c>
      <c r="L276" s="989"/>
      <c r="M276" s="1285" t="s">
        <v>1832</v>
      </c>
      <c r="N276" s="957" t="s">
        <v>46</v>
      </c>
      <c r="O276" s="1070">
        <v>26.72</v>
      </c>
      <c r="P276" s="1021">
        <v>8329015</v>
      </c>
      <c r="Q276" s="1231">
        <f t="shared" si="22"/>
        <v>54.009884653536197</v>
      </c>
      <c r="R276" s="1047"/>
    </row>
    <row r="277" spans="1:18" ht="15">
      <c r="A277" s="1306" t="s">
        <v>1847</v>
      </c>
      <c r="B277" s="1160"/>
      <c r="C277" s="1169">
        <v>1.1000000000000001</v>
      </c>
      <c r="D277" s="1249">
        <v>6752093</v>
      </c>
      <c r="E277" s="1243">
        <f t="shared" si="20"/>
        <v>67.419901277935011</v>
      </c>
      <c r="F277" s="1033"/>
      <c r="G277" s="1280" t="s">
        <v>1812</v>
      </c>
      <c r="H277" s="1174"/>
      <c r="I277" s="955">
        <v>2</v>
      </c>
      <c r="J277" s="162">
        <v>17339337</v>
      </c>
      <c r="K277" s="1231">
        <f t="shared" si="21"/>
        <v>60.10181511995571</v>
      </c>
      <c r="L277" s="989"/>
      <c r="M277" s="1280" t="s">
        <v>1814</v>
      </c>
      <c r="N277" s="1174"/>
      <c r="O277" s="1169">
        <v>48</v>
      </c>
      <c r="P277" s="1018">
        <v>8552090</v>
      </c>
      <c r="Q277" s="1231">
        <f t="shared" si="22"/>
        <v>55.456424852958044</v>
      </c>
      <c r="R277" s="1047"/>
    </row>
    <row r="278" spans="1:18" ht="15">
      <c r="A278" s="1287" t="s">
        <v>1800</v>
      </c>
      <c r="B278" s="1246"/>
      <c r="C278" s="955">
        <v>8.9</v>
      </c>
      <c r="D278" s="1016">
        <v>7373207</v>
      </c>
      <c r="E278" s="1243">
        <f t="shared" si="20"/>
        <v>73.621747810905362</v>
      </c>
      <c r="F278" s="1033"/>
      <c r="G278" s="1287" t="s">
        <v>1800</v>
      </c>
      <c r="H278" s="1246"/>
      <c r="I278" s="1061">
        <v>25</v>
      </c>
      <c r="J278" s="162">
        <v>17667012</v>
      </c>
      <c r="K278" s="1231">
        <f t="shared" si="21"/>
        <v>61.23760608297993</v>
      </c>
      <c r="L278" s="989"/>
      <c r="M278" s="1290" t="s">
        <v>1813</v>
      </c>
      <c r="N278" s="1416"/>
      <c r="O278" s="1061">
        <v>6.5</v>
      </c>
      <c r="P278" s="162">
        <v>8697648</v>
      </c>
      <c r="Q278" s="1231">
        <f t="shared" si="22"/>
        <v>56.40030246518463</v>
      </c>
      <c r="R278" s="1047"/>
    </row>
    <row r="279" spans="1:18" ht="15">
      <c r="A279" s="1291" t="s">
        <v>1816</v>
      </c>
      <c r="B279" s="1160" t="s">
        <v>46</v>
      </c>
      <c r="C279" s="1070">
        <v>2</v>
      </c>
      <c r="D279" s="1016">
        <v>7476082</v>
      </c>
      <c r="E279" s="1243">
        <f t="shared" si="20"/>
        <v>74.64895853563435</v>
      </c>
      <c r="F279" s="1033"/>
      <c r="G279" s="1291" t="s">
        <v>1816</v>
      </c>
      <c r="H279" s="1160" t="s">
        <v>46</v>
      </c>
      <c r="I279" s="1061">
        <v>10</v>
      </c>
      <c r="J279" s="162">
        <v>18282406</v>
      </c>
      <c r="K279" s="1231">
        <f t="shared" si="21"/>
        <v>63.370692048950261</v>
      </c>
      <c r="L279" s="989"/>
      <c r="M279" s="1291" t="s">
        <v>1816</v>
      </c>
      <c r="N279" s="1160" t="s">
        <v>46</v>
      </c>
      <c r="O279" s="1060">
        <v>5</v>
      </c>
      <c r="P279" s="162">
        <v>8714839</v>
      </c>
      <c r="Q279" s="1231">
        <f t="shared" si="22"/>
        <v>56.511778303213369</v>
      </c>
      <c r="R279" s="1047"/>
    </row>
    <row r="280" spans="1:18" ht="15">
      <c r="A280" s="1285" t="s">
        <v>1832</v>
      </c>
      <c r="B280" s="1111" t="s">
        <v>46</v>
      </c>
      <c r="C280" s="1070">
        <v>19.54</v>
      </c>
      <c r="D280" s="1016">
        <v>7634076</v>
      </c>
      <c r="E280" s="1243">
        <f t="shared" si="20"/>
        <v>76.226534537994809</v>
      </c>
      <c r="F280" s="1170"/>
      <c r="G280" s="1285" t="s">
        <v>1832</v>
      </c>
      <c r="H280" s="1111" t="s">
        <v>46</v>
      </c>
      <c r="I280" s="1061">
        <v>32.450000000000003</v>
      </c>
      <c r="J280" s="162">
        <v>18332259</v>
      </c>
      <c r="K280" s="1231">
        <f t="shared" si="21"/>
        <v>63.543493107559087</v>
      </c>
      <c r="L280" s="1171"/>
      <c r="M280" s="1292" t="s">
        <v>926</v>
      </c>
      <c r="N280" s="1111" t="s">
        <v>46</v>
      </c>
      <c r="O280" s="1061">
        <v>2.2650000000000001</v>
      </c>
      <c r="P280" s="162">
        <v>8785292</v>
      </c>
      <c r="Q280" s="1231">
        <f t="shared" si="22"/>
        <v>56.968634054283044</v>
      </c>
      <c r="R280" s="1047"/>
    </row>
    <row r="281" spans="1:18" ht="15">
      <c r="A281" s="1280" t="s">
        <v>1814</v>
      </c>
      <c r="B281" s="1174"/>
      <c r="C281" s="1071">
        <v>44.9</v>
      </c>
      <c r="D281" s="1016">
        <v>7820207</v>
      </c>
      <c r="E281" s="1243">
        <f t="shared" si="20"/>
        <v>78.085059538281882</v>
      </c>
      <c r="F281" s="1033"/>
      <c r="G281" s="1280" t="s">
        <v>1814</v>
      </c>
      <c r="H281" s="1174"/>
      <c r="I281" s="955">
        <v>107.3</v>
      </c>
      <c r="J281" s="141">
        <v>18792960</v>
      </c>
      <c r="K281" s="1231">
        <f t="shared" si="21"/>
        <v>65.140380366142196</v>
      </c>
      <c r="L281" s="989"/>
      <c r="M281" s="1284" t="s">
        <v>917</v>
      </c>
      <c r="N281" s="1172"/>
      <c r="O281" s="1061">
        <v>11</v>
      </c>
      <c r="P281" s="162">
        <v>8833194</v>
      </c>
      <c r="Q281" s="1231">
        <f t="shared" si="22"/>
        <v>57.279256798349863</v>
      </c>
      <c r="R281" s="1047"/>
    </row>
    <row r="282" spans="1:18" ht="15">
      <c r="A282" s="1292" t="s">
        <v>1848</v>
      </c>
      <c r="B282" s="957" t="s">
        <v>46</v>
      </c>
      <c r="C282" s="1070">
        <v>2.875</v>
      </c>
      <c r="D282" s="1016">
        <v>7865354</v>
      </c>
      <c r="E282" s="1243">
        <f t="shared" si="20"/>
        <v>78.535854022746918</v>
      </c>
      <c r="F282" s="1033"/>
      <c r="G282" s="1292" t="s">
        <v>926</v>
      </c>
      <c r="H282" s="957" t="s">
        <v>46</v>
      </c>
      <c r="I282" s="1061">
        <v>4.266</v>
      </c>
      <c r="J282" s="162">
        <v>19072740</v>
      </c>
      <c r="K282" s="1231">
        <f t="shared" si="21"/>
        <v>66.110157113330459</v>
      </c>
      <c r="L282" s="989"/>
      <c r="M282" s="1286" t="s">
        <v>1808</v>
      </c>
      <c r="N282" s="957" t="s">
        <v>46</v>
      </c>
      <c r="O282" s="1061">
        <v>24.1</v>
      </c>
      <c r="P282" s="162">
        <v>8859694</v>
      </c>
      <c r="Q282" s="1231">
        <f t="shared" si="22"/>
        <v>57.451097279285328</v>
      </c>
      <c r="R282" s="1047"/>
    </row>
    <row r="283" spans="1:18" ht="15">
      <c r="A283" s="1412" t="s">
        <v>1841</v>
      </c>
      <c r="B283" s="1423"/>
      <c r="C283" s="1070"/>
      <c r="D283" s="1016">
        <v>7958726</v>
      </c>
      <c r="E283" s="1243">
        <f t="shared" si="20"/>
        <v>79.468176936860118</v>
      </c>
      <c r="F283" s="1033"/>
      <c r="G283" s="1280" t="s">
        <v>1808</v>
      </c>
      <c r="H283" s="1408" t="s">
        <v>46</v>
      </c>
      <c r="I283" s="1061">
        <v>19.66</v>
      </c>
      <c r="J283" s="162">
        <v>20107880</v>
      </c>
      <c r="K283" s="1231">
        <f t="shared" si="21"/>
        <v>69.69817163218265</v>
      </c>
      <c r="L283" s="989"/>
      <c r="M283" s="1280" t="s">
        <v>1550</v>
      </c>
      <c r="N283" s="1176"/>
      <c r="O283" s="1061">
        <v>4</v>
      </c>
      <c r="P283" s="141">
        <v>8894967</v>
      </c>
      <c r="Q283" s="1231">
        <f t="shared" si="22"/>
        <v>57.679826686230108</v>
      </c>
      <c r="R283" s="1047"/>
    </row>
    <row r="284" spans="1:18" ht="15">
      <c r="A284" s="1280" t="s">
        <v>1808</v>
      </c>
      <c r="B284" s="1246" t="s">
        <v>46</v>
      </c>
      <c r="C284" s="955">
        <v>4.9000000000000004</v>
      </c>
      <c r="D284" s="1016">
        <v>8045997</v>
      </c>
      <c r="E284" s="1243">
        <f t="shared" si="20"/>
        <v>80.339581137665206</v>
      </c>
      <c r="F284" s="1033"/>
      <c r="G284" s="1412" t="s">
        <v>1841</v>
      </c>
      <c r="H284" s="1246"/>
      <c r="I284" s="1320"/>
      <c r="J284" s="162">
        <v>20132609</v>
      </c>
      <c r="K284" s="1231">
        <f t="shared" si="21"/>
        <v>69.783887584649662</v>
      </c>
      <c r="L284" s="989"/>
      <c r="M284" s="1280" t="s">
        <v>1849</v>
      </c>
      <c r="N284" s="1246" t="s">
        <v>46</v>
      </c>
      <c r="O284" s="1061">
        <v>4</v>
      </c>
      <c r="P284" s="162">
        <v>8899895</v>
      </c>
      <c r="Q284" s="1231">
        <f t="shared" si="22"/>
        <v>57.711782531137658</v>
      </c>
      <c r="R284" s="1047"/>
    </row>
    <row r="285" spans="1:18" ht="15">
      <c r="A285" s="1280" t="s">
        <v>1809</v>
      </c>
      <c r="B285" s="1408" t="s">
        <v>46</v>
      </c>
      <c r="C285" s="1070">
        <v>2</v>
      </c>
      <c r="D285" s="1016">
        <v>8198206</v>
      </c>
      <c r="E285" s="1243">
        <f t="shared" si="20"/>
        <v>81.859393698542732</v>
      </c>
      <c r="F285" s="1033"/>
      <c r="G285" s="1280" t="s">
        <v>1809</v>
      </c>
      <c r="H285" s="1408" t="s">
        <v>46</v>
      </c>
      <c r="I285" s="1061">
        <v>5</v>
      </c>
      <c r="J285" s="162">
        <v>20194326</v>
      </c>
      <c r="K285" s="1231">
        <f t="shared" si="21"/>
        <v>69.997811780468581</v>
      </c>
      <c r="L285" s="989"/>
      <c r="M285" s="1280" t="s">
        <v>1809</v>
      </c>
      <c r="N285" s="1408" t="s">
        <v>46</v>
      </c>
      <c r="O285" s="1060">
        <v>2.6</v>
      </c>
      <c r="P285" s="162">
        <v>9052303</v>
      </c>
      <c r="Q285" s="1231">
        <f t="shared" si="22"/>
        <v>58.700079286549446</v>
      </c>
      <c r="R285" s="1047"/>
    </row>
    <row r="286" spans="1:18" ht="15">
      <c r="A286" s="1284" t="s">
        <v>917</v>
      </c>
      <c r="B286" s="1172"/>
      <c r="C286" s="1070">
        <v>9</v>
      </c>
      <c r="D286" s="1016">
        <v>8344772</v>
      </c>
      <c r="E286" s="1243">
        <f t="shared" si="20"/>
        <v>83.322860693251158</v>
      </c>
      <c r="F286" s="1033"/>
      <c r="G286" s="1284" t="s">
        <v>917</v>
      </c>
      <c r="H286" s="1172"/>
      <c r="I286" s="1061">
        <v>23</v>
      </c>
      <c r="J286" s="162">
        <v>20451599</v>
      </c>
      <c r="K286" s="1231">
        <f t="shared" si="21"/>
        <v>70.889574497887153</v>
      </c>
      <c r="L286" s="989"/>
      <c r="M286" s="1280" t="s">
        <v>1817</v>
      </c>
      <c r="N286" s="1174"/>
      <c r="O286" s="1061">
        <v>11</v>
      </c>
      <c r="P286" s="162">
        <v>9086677</v>
      </c>
      <c r="Q286" s="1231">
        <f t="shared" si="22"/>
        <v>58.922979086235323</v>
      </c>
      <c r="R286" s="1047"/>
    </row>
    <row r="287" spans="1:18" ht="15">
      <c r="A287" s="1280" t="s">
        <v>1550</v>
      </c>
      <c r="B287" s="1176"/>
      <c r="C287" s="1070">
        <v>2</v>
      </c>
      <c r="D287" s="1016">
        <v>8425461</v>
      </c>
      <c r="E287" s="1243">
        <f t="shared" si="20"/>
        <v>84.128543377748443</v>
      </c>
      <c r="F287" s="1033"/>
      <c r="G287" s="1280" t="s">
        <v>1849</v>
      </c>
      <c r="H287" s="1408" t="s">
        <v>46</v>
      </c>
      <c r="I287" s="1061">
        <v>6</v>
      </c>
      <c r="J287" s="162">
        <v>20754731</v>
      </c>
      <c r="K287" s="1231">
        <f t="shared" si="21"/>
        <v>71.940294223845669</v>
      </c>
      <c r="L287" s="989"/>
      <c r="M287" s="1280" t="s">
        <v>1812</v>
      </c>
      <c r="N287" s="1247"/>
      <c r="O287" s="1061">
        <v>1</v>
      </c>
      <c r="P287" s="162">
        <v>9093866</v>
      </c>
      <c r="Q287" s="1231">
        <f t="shared" si="22"/>
        <v>58.969596490667215</v>
      </c>
      <c r="R287" s="1047"/>
    </row>
    <row r="288" spans="1:18" ht="15">
      <c r="A288" s="1280" t="s">
        <v>1849</v>
      </c>
      <c r="B288" s="1160" t="s">
        <v>46</v>
      </c>
      <c r="C288" s="1070">
        <v>1</v>
      </c>
      <c r="D288" s="1022">
        <v>8429353</v>
      </c>
      <c r="E288" s="1243">
        <f t="shared" si="20"/>
        <v>84.167405143392628</v>
      </c>
      <c r="F288" s="1033"/>
      <c r="G288" s="1280" t="s">
        <v>1550</v>
      </c>
      <c r="H288" s="1178"/>
      <c r="I288" s="955">
        <v>9</v>
      </c>
      <c r="J288" s="141">
        <v>20760229</v>
      </c>
      <c r="K288" s="1231">
        <f t="shared" si="21"/>
        <v>71.959351456514341</v>
      </c>
      <c r="L288" s="989"/>
      <c r="M288" s="1288" t="s">
        <v>1804</v>
      </c>
      <c r="N288" s="1178"/>
      <c r="O288" s="1061">
        <v>1</v>
      </c>
      <c r="P288" s="162">
        <v>10819810</v>
      </c>
      <c r="Q288" s="1231">
        <f t="shared" si="22"/>
        <v>70.161560529447655</v>
      </c>
      <c r="R288" s="1047"/>
    </row>
    <row r="289" spans="1:18" ht="15">
      <c r="A289" s="1288" t="s">
        <v>1804</v>
      </c>
      <c r="B289" s="1178"/>
      <c r="C289" s="955">
        <v>1</v>
      </c>
      <c r="D289" s="1016">
        <v>9047585</v>
      </c>
      <c r="E289" s="1243">
        <f t="shared" si="20"/>
        <v>90.340474798514421</v>
      </c>
      <c r="F289" s="1170"/>
      <c r="G289" s="1288" t="s">
        <v>1804</v>
      </c>
      <c r="H289" s="1178"/>
      <c r="I289" s="1061">
        <v>1</v>
      </c>
      <c r="J289" s="162">
        <v>24065860</v>
      </c>
      <c r="K289" s="1231">
        <f t="shared" si="21"/>
        <v>83.41736875076235</v>
      </c>
      <c r="L289" s="1171"/>
      <c r="M289" s="1412" t="s">
        <v>1841</v>
      </c>
      <c r="N289" s="1164"/>
      <c r="O289" s="1101"/>
      <c r="P289" s="141">
        <v>10985157</v>
      </c>
      <c r="Q289" s="1231">
        <f t="shared" si="22"/>
        <v>71.233760831381105</v>
      </c>
      <c r="R289" s="1047"/>
    </row>
    <row r="290" spans="1:18" ht="15">
      <c r="A290" s="1288" t="s">
        <v>746</v>
      </c>
      <c r="B290" s="1205"/>
      <c r="C290" s="1070"/>
      <c r="D290" s="1016">
        <v>10014985</v>
      </c>
      <c r="E290" s="1243">
        <f t="shared" si="20"/>
        <v>100</v>
      </c>
      <c r="F290" s="1033"/>
      <c r="G290" s="1412" t="s">
        <v>1840</v>
      </c>
      <c r="H290" s="964"/>
      <c r="I290" s="1320"/>
      <c r="J290" s="162">
        <v>28849939</v>
      </c>
      <c r="K290" s="1231">
        <f t="shared" si="21"/>
        <v>100</v>
      </c>
      <c r="L290" s="989"/>
      <c r="M290" s="1412" t="s">
        <v>1840</v>
      </c>
      <c r="N290" s="1431"/>
      <c r="O290" s="1101"/>
      <c r="P290" s="162">
        <v>15367336</v>
      </c>
      <c r="Q290" s="1231">
        <f t="shared" si="22"/>
        <v>99.650204110826351</v>
      </c>
      <c r="R290" s="1047"/>
    </row>
    <row r="291" spans="1:18" ht="15">
      <c r="A291" s="1406" t="s">
        <v>1840</v>
      </c>
      <c r="B291" s="1419"/>
      <c r="C291" s="1070"/>
      <c r="D291" s="1016">
        <v>10015245</v>
      </c>
      <c r="E291" s="1243">
        <f t="shared" si="20"/>
        <v>100.00259610972957</v>
      </c>
      <c r="F291" s="1033"/>
      <c r="G291" s="1303" t="s">
        <v>746</v>
      </c>
      <c r="H291" s="1178"/>
      <c r="I291" s="1175"/>
      <c r="J291" s="162">
        <v>28849939</v>
      </c>
      <c r="K291" s="1231">
        <f t="shared" si="21"/>
        <v>100</v>
      </c>
      <c r="L291" s="989"/>
      <c r="M291" s="1303" t="s">
        <v>746</v>
      </c>
      <c r="N291" s="1178"/>
      <c r="O291" s="1061"/>
      <c r="P291" s="162">
        <v>15421279</v>
      </c>
      <c r="Q291" s="1231">
        <f t="shared" si="22"/>
        <v>100</v>
      </c>
      <c r="R291" s="1047"/>
    </row>
    <row r="292" spans="1:18" ht="15">
      <c r="A292" s="1406" t="s">
        <v>1845</v>
      </c>
      <c r="B292" s="1419"/>
      <c r="C292" s="1070"/>
      <c r="D292" s="1016">
        <v>10217022</v>
      </c>
      <c r="E292" s="1243">
        <f t="shared" si="20"/>
        <v>102.01734700551224</v>
      </c>
      <c r="F292" s="1033"/>
      <c r="G292" s="1406" t="s">
        <v>1845</v>
      </c>
      <c r="H292" s="1160"/>
      <c r="I292" s="1320"/>
      <c r="J292" s="162">
        <v>28929341</v>
      </c>
      <c r="K292" s="1231">
        <f t="shared" si="21"/>
        <v>100.27522415212039</v>
      </c>
      <c r="L292" s="989"/>
      <c r="M292" s="1406" t="s">
        <v>1845</v>
      </c>
      <c r="N292" s="1164"/>
      <c r="O292" s="1106"/>
      <c r="P292" s="1399">
        <v>15423063</v>
      </c>
      <c r="Q292" s="1231">
        <f t="shared" si="22"/>
        <v>100.0115684308675</v>
      </c>
      <c r="R292" s="1047"/>
    </row>
    <row r="293" spans="1:18" ht="15">
      <c r="A293" s="593"/>
      <c r="B293" s="593"/>
      <c r="C293" s="593"/>
      <c r="D293" s="55"/>
      <c r="E293" s="1086"/>
      <c r="F293" s="1033"/>
      <c r="G293" s="989"/>
      <c r="H293" s="989"/>
      <c r="I293" s="989"/>
      <c r="J293" s="989"/>
      <c r="K293" s="989"/>
      <c r="L293" s="989"/>
      <c r="M293" s="989"/>
      <c r="N293" s="1389"/>
      <c r="O293" s="1389"/>
      <c r="P293" s="1089"/>
      <c r="Q293" s="1087"/>
      <c r="R293" s="1047"/>
    </row>
    <row r="294" spans="1:18" ht="17.25">
      <c r="A294" s="593"/>
      <c r="B294" s="1355" t="s">
        <v>1821</v>
      </c>
      <c r="C294" s="593"/>
      <c r="D294" s="55"/>
      <c r="E294" s="1086"/>
      <c r="F294" s="1033"/>
      <c r="G294" s="989"/>
      <c r="H294" s="989"/>
      <c r="I294" s="989"/>
      <c r="J294" s="989"/>
      <c r="K294" s="989"/>
      <c r="L294" s="989"/>
      <c r="M294" s="989"/>
      <c r="N294" s="1434"/>
      <c r="O294" s="1434"/>
      <c r="P294" s="1089"/>
      <c r="Q294" s="1087"/>
      <c r="R294" s="1047"/>
    </row>
    <row r="295" spans="1:18" ht="17.25">
      <c r="A295" s="593"/>
      <c r="B295" s="627" t="s">
        <v>1645</v>
      </c>
      <c r="C295" s="593"/>
      <c r="D295" s="55"/>
      <c r="E295" s="1086"/>
      <c r="F295" s="1033"/>
      <c r="G295" s="989"/>
      <c r="H295" s="989"/>
      <c r="I295" s="989"/>
      <c r="J295" s="989"/>
      <c r="K295" s="989"/>
      <c r="L295" s="989"/>
      <c r="M295" s="989"/>
      <c r="N295" s="1434"/>
      <c r="O295" s="1434"/>
      <c r="P295" s="1089"/>
      <c r="Q295" s="1087"/>
      <c r="R295" s="1047"/>
    </row>
    <row r="296" spans="1:18" ht="17.25">
      <c r="A296" s="593"/>
      <c r="B296" s="64" t="s">
        <v>1859</v>
      </c>
      <c r="C296" s="593"/>
      <c r="D296" s="55"/>
      <c r="E296" s="1086"/>
      <c r="F296" s="1033"/>
      <c r="G296" s="989"/>
      <c r="H296" s="989"/>
      <c r="I296" s="989"/>
      <c r="J296" s="989"/>
      <c r="K296" s="989"/>
      <c r="L296" s="989"/>
      <c r="M296" s="989"/>
      <c r="N296" s="1389"/>
      <c r="O296" s="1389"/>
      <c r="P296" s="1089"/>
      <c r="Q296" s="1087"/>
      <c r="R296" s="1047"/>
    </row>
    <row r="297" spans="1:18" ht="15">
      <c r="A297" s="593"/>
      <c r="B297" s="593"/>
      <c r="C297" s="593"/>
      <c r="D297" s="55"/>
      <c r="E297" s="1086"/>
      <c r="F297" s="1033"/>
      <c r="G297" s="989"/>
      <c r="H297" s="989"/>
      <c r="I297" s="989"/>
      <c r="J297" s="989"/>
      <c r="K297" s="989"/>
      <c r="L297" s="989"/>
      <c r="M297" s="989"/>
      <c r="N297" s="1389"/>
      <c r="O297" s="1389"/>
      <c r="P297" s="1089"/>
      <c r="Q297" s="1087"/>
      <c r="R297" s="1047"/>
    </row>
    <row r="298" spans="1:18" ht="15">
      <c r="A298" s="593"/>
      <c r="B298" s="593"/>
      <c r="C298" s="593"/>
      <c r="D298" s="55"/>
      <c r="E298" s="1086"/>
      <c r="F298" s="1033"/>
      <c r="G298" s="989"/>
      <c r="H298" s="989"/>
      <c r="I298" s="989"/>
      <c r="J298" s="989"/>
      <c r="K298" s="989"/>
      <c r="L298" s="989"/>
      <c r="M298" s="989"/>
      <c r="N298" s="603"/>
      <c r="O298" s="603"/>
      <c r="P298" s="1089"/>
      <c r="Q298" s="1087"/>
      <c r="R298" s="1047"/>
    </row>
    <row r="299" spans="1:18" ht="20.25">
      <c r="A299" s="1545" t="s">
        <v>721</v>
      </c>
      <c r="B299" s="1033"/>
      <c r="C299" s="1033"/>
      <c r="D299" s="1033"/>
      <c r="E299" s="1046"/>
      <c r="F299" s="1033"/>
      <c r="G299" s="989"/>
      <c r="H299" s="989"/>
      <c r="I299" s="989"/>
      <c r="J299" s="989"/>
      <c r="K299" s="989"/>
      <c r="L299" s="989"/>
      <c r="M299" s="989"/>
      <c r="N299" s="1033"/>
      <c r="O299" s="1033"/>
      <c r="P299" s="1033"/>
      <c r="Q299" s="1046"/>
      <c r="R299" s="1047"/>
    </row>
    <row r="300" spans="1:18" ht="15.75" thickBot="1">
      <c r="A300" s="1090"/>
      <c r="B300" s="1090"/>
      <c r="C300" s="1090"/>
      <c r="D300" s="1090"/>
      <c r="E300" s="1091"/>
      <c r="F300" s="1090"/>
      <c r="G300" s="990"/>
      <c r="H300" s="990"/>
      <c r="I300" s="990"/>
      <c r="J300" s="990"/>
      <c r="K300" s="990"/>
      <c r="L300" s="990"/>
      <c r="M300" s="990"/>
      <c r="N300" s="1090"/>
      <c r="O300" s="1090"/>
      <c r="P300" s="1090"/>
      <c r="Q300" s="1091"/>
      <c r="R300" s="1047"/>
    </row>
    <row r="301" spans="1:18" ht="15.75" thickTop="1">
      <c r="A301" s="1534"/>
      <c r="B301" s="1534"/>
      <c r="C301" s="1534"/>
      <c r="D301" s="1534"/>
      <c r="E301" s="1210"/>
      <c r="F301" s="1534"/>
      <c r="G301" s="989"/>
      <c r="H301" s="989"/>
      <c r="I301" s="989"/>
      <c r="J301" s="989"/>
      <c r="K301" s="989"/>
      <c r="L301" s="989"/>
      <c r="M301" s="989"/>
      <c r="N301" s="1534"/>
      <c r="O301" s="1534"/>
      <c r="P301" s="1534"/>
      <c r="Q301" s="1210"/>
      <c r="R301" s="1047"/>
    </row>
    <row r="302" spans="1:18" ht="15">
      <c r="A302" s="1041" t="s">
        <v>1801</v>
      </c>
      <c r="B302" s="593"/>
      <c r="C302" s="593"/>
      <c r="D302" s="55"/>
      <c r="E302" s="1086"/>
      <c r="F302" s="1033"/>
      <c r="G302" s="1041" t="s">
        <v>961</v>
      </c>
      <c r="H302" s="1109"/>
      <c r="I302" s="593"/>
      <c r="J302" s="55"/>
      <c r="K302" s="1086"/>
      <c r="L302" s="1033"/>
      <c r="M302" s="1123" t="s">
        <v>987</v>
      </c>
      <c r="N302" s="1136"/>
      <c r="O302" s="603"/>
      <c r="P302" s="1089"/>
      <c r="Q302" s="1087"/>
      <c r="R302" s="1047"/>
    </row>
    <row r="303" spans="1:18" ht="15">
      <c r="A303" s="1014" t="s">
        <v>1802</v>
      </c>
      <c r="B303" s="1155"/>
      <c r="C303" s="1156"/>
      <c r="D303" s="3159" t="s">
        <v>1803</v>
      </c>
      <c r="E303" s="3159"/>
      <c r="F303" s="1033"/>
      <c r="G303" s="975" t="s">
        <v>951</v>
      </c>
      <c r="H303" s="1052"/>
      <c r="I303" s="1157"/>
      <c r="J303" s="3154" t="s">
        <v>722</v>
      </c>
      <c r="K303" s="3154"/>
      <c r="L303" s="989"/>
      <c r="M303" s="975" t="s">
        <v>989</v>
      </c>
      <c r="N303" s="1052"/>
      <c r="O303" s="1157"/>
      <c r="P303" s="3154" t="s">
        <v>988</v>
      </c>
      <c r="Q303" s="3154"/>
      <c r="R303" s="1047"/>
    </row>
    <row r="304" spans="1:18" ht="15">
      <c r="A304" s="1307" t="s">
        <v>1272</v>
      </c>
      <c r="B304" s="1158"/>
      <c r="C304" s="1159">
        <v>21.077999999999999</v>
      </c>
      <c r="D304" s="1015">
        <v>18658071</v>
      </c>
      <c r="E304" s="1243">
        <f t="shared" ref="E304:E327" si="23">(D304*100/19900650)</f>
        <v>93.756088368972868</v>
      </c>
      <c r="F304" s="593"/>
      <c r="G304" s="1271" t="s">
        <v>1819</v>
      </c>
      <c r="H304" s="1053" t="s">
        <v>46</v>
      </c>
      <c r="I304" s="1054">
        <v>2193.0300000000002</v>
      </c>
      <c r="J304" s="1009">
        <v>18403927</v>
      </c>
      <c r="K304" s="1231">
        <f>(J304*100/19475456)</f>
        <v>94.498054371615225</v>
      </c>
      <c r="L304" s="593"/>
      <c r="M304" s="1271" t="s">
        <v>1819</v>
      </c>
      <c r="N304" s="1053" t="s">
        <v>46</v>
      </c>
      <c r="O304" s="1588">
        <v>4352.0200000000004</v>
      </c>
      <c r="P304" s="1589">
        <v>36407758</v>
      </c>
      <c r="Q304" s="1231">
        <f t="shared" ref="Q304:Q327" si="24">(P304*100/37018568)</f>
        <v>98.349990199512845</v>
      </c>
      <c r="R304" s="1047"/>
    </row>
    <row r="305" spans="1:18" ht="15">
      <c r="A305" s="1280" t="s">
        <v>1819</v>
      </c>
      <c r="B305" s="1078" t="s">
        <v>46</v>
      </c>
      <c r="C305" s="1070">
        <v>2275.31</v>
      </c>
      <c r="D305" s="1016">
        <v>19291837</v>
      </c>
      <c r="E305" s="1243">
        <f t="shared" si="23"/>
        <v>96.940738116594176</v>
      </c>
      <c r="F305" s="1033"/>
      <c r="G305" s="1262" t="s">
        <v>1242</v>
      </c>
      <c r="H305" s="957" t="s">
        <v>46</v>
      </c>
      <c r="I305" s="1061">
        <v>247.3</v>
      </c>
      <c r="J305" s="162">
        <v>18453858</v>
      </c>
      <c r="K305" s="1231">
        <f>(J305*100/19475456)</f>
        <v>94.754433477706499</v>
      </c>
      <c r="L305" s="989"/>
      <c r="M305" s="1262" t="s">
        <v>1242</v>
      </c>
      <c r="N305" s="957" t="s">
        <v>46</v>
      </c>
      <c r="O305" s="1061">
        <v>471.84</v>
      </c>
      <c r="P305" s="162">
        <v>36405844</v>
      </c>
      <c r="Q305" s="1231">
        <f t="shared" si="24"/>
        <v>98.34481982123134</v>
      </c>
      <c r="R305" s="1047"/>
    </row>
    <row r="306" spans="1:18" ht="15">
      <c r="A306" s="1284" t="s">
        <v>1242</v>
      </c>
      <c r="B306" s="957" t="s">
        <v>46</v>
      </c>
      <c r="C306" s="1070">
        <v>336.68</v>
      </c>
      <c r="D306" s="1016">
        <v>19283705</v>
      </c>
      <c r="E306" s="1243">
        <f t="shared" si="23"/>
        <v>96.899875129706814</v>
      </c>
      <c r="F306" s="1033"/>
      <c r="G306" s="1267" t="s">
        <v>1815</v>
      </c>
      <c r="H306" s="1161"/>
      <c r="I306" s="1061">
        <v>33.020000000000003</v>
      </c>
      <c r="J306" s="162">
        <v>18455861</v>
      </c>
      <c r="K306" s="1231">
        <f t="shared" ref="K306:K326" si="25">(J306*100/19475456)</f>
        <v>94.764718217637622</v>
      </c>
      <c r="L306" s="989"/>
      <c r="M306" s="1267" t="s">
        <v>1815</v>
      </c>
      <c r="N306" s="1162"/>
      <c r="O306" s="1163">
        <v>67.58</v>
      </c>
      <c r="P306" s="1017">
        <v>36410087</v>
      </c>
      <c r="Q306" s="1231">
        <f t="shared" si="24"/>
        <v>98.356281636826139</v>
      </c>
      <c r="R306" s="1047"/>
    </row>
    <row r="307" spans="1:18" ht="15">
      <c r="A307" s="1280" t="s">
        <v>1815</v>
      </c>
      <c r="B307" s="1164"/>
      <c r="C307" s="1070">
        <v>44.44</v>
      </c>
      <c r="D307" s="1016">
        <v>19274477</v>
      </c>
      <c r="E307" s="1243">
        <f t="shared" si="23"/>
        <v>96.853504785019581</v>
      </c>
      <c r="F307" s="1033"/>
      <c r="G307" s="1280" t="s">
        <v>146</v>
      </c>
      <c r="H307" s="956"/>
      <c r="I307" s="1163">
        <v>629.29999999999995</v>
      </c>
      <c r="J307" s="1018">
        <v>18540604</v>
      </c>
      <c r="K307" s="1231">
        <f t="shared" si="25"/>
        <v>95.199845384878273</v>
      </c>
      <c r="L307" s="989"/>
      <c r="M307" s="1165" t="s">
        <v>1273</v>
      </c>
      <c r="N307" s="957"/>
      <c r="O307" s="1166">
        <v>11</v>
      </c>
      <c r="P307" s="162">
        <v>36450525</v>
      </c>
      <c r="Q307" s="1231">
        <f t="shared" si="24"/>
        <v>98.465518709421715</v>
      </c>
      <c r="R307" s="1047"/>
    </row>
    <row r="308" spans="1:18" ht="15">
      <c r="A308" s="1284" t="s">
        <v>1806</v>
      </c>
      <c r="B308" s="963" t="s">
        <v>46</v>
      </c>
      <c r="C308" s="1167">
        <v>31.3</v>
      </c>
      <c r="D308" s="944">
        <v>19326838</v>
      </c>
      <c r="E308" s="1233">
        <f t="shared" si="23"/>
        <v>97.116616793923811</v>
      </c>
      <c r="F308" s="1033"/>
      <c r="G308" s="1267" t="s">
        <v>1814</v>
      </c>
      <c r="H308" s="959"/>
      <c r="I308" s="1167">
        <v>151.30000000000001</v>
      </c>
      <c r="J308" s="1019">
        <v>18575467</v>
      </c>
      <c r="K308" s="1233">
        <f t="shared" si="25"/>
        <v>95.378855314093798</v>
      </c>
      <c r="L308" s="989"/>
      <c r="M308" s="1280" t="s">
        <v>146</v>
      </c>
      <c r="N308" s="956"/>
      <c r="O308" s="1167">
        <v>1114.5999999999999</v>
      </c>
      <c r="P308" s="944">
        <v>36483762</v>
      </c>
      <c r="Q308" s="1233">
        <f t="shared" si="24"/>
        <v>98.555303381805587</v>
      </c>
      <c r="R308" s="1047"/>
    </row>
    <row r="309" spans="1:18" ht="15">
      <c r="A309" s="1292" t="s">
        <v>926</v>
      </c>
      <c r="B309" s="969" t="s">
        <v>46</v>
      </c>
      <c r="C309" s="1167">
        <v>17.015999999999998</v>
      </c>
      <c r="D309" s="1020">
        <v>19328252</v>
      </c>
      <c r="E309" s="1243">
        <f t="shared" si="23"/>
        <v>97.123722089479486</v>
      </c>
      <c r="F309" s="1033"/>
      <c r="G309" s="1262" t="s">
        <v>1806</v>
      </c>
      <c r="H309" s="963" t="s">
        <v>46</v>
      </c>
      <c r="I309" s="1070">
        <v>30.59</v>
      </c>
      <c r="J309" s="1018">
        <v>18636447</v>
      </c>
      <c r="K309" s="1231">
        <f t="shared" si="25"/>
        <v>95.691967366515058</v>
      </c>
      <c r="L309" s="989"/>
      <c r="M309" s="1262" t="s">
        <v>1806</v>
      </c>
      <c r="N309" s="963" t="s">
        <v>46</v>
      </c>
      <c r="O309" s="1163">
        <v>35.159999999999997</v>
      </c>
      <c r="P309" s="1018">
        <v>36507223</v>
      </c>
      <c r="Q309" s="1231">
        <f t="shared" si="24"/>
        <v>98.61867968528658</v>
      </c>
      <c r="R309" s="1047"/>
    </row>
    <row r="310" spans="1:18" ht="15">
      <c r="A310" s="1286" t="s">
        <v>146</v>
      </c>
      <c r="B310" s="956"/>
      <c r="C310" s="1070">
        <v>590.9</v>
      </c>
      <c r="D310" s="941">
        <v>19333829</v>
      </c>
      <c r="E310" s="1243">
        <f t="shared" si="23"/>
        <v>97.151746299743976</v>
      </c>
      <c r="F310" s="1033"/>
      <c r="G310" s="1012" t="s">
        <v>1566</v>
      </c>
      <c r="H310" s="957"/>
      <c r="I310" s="1168">
        <v>15.6</v>
      </c>
      <c r="J310" s="979">
        <v>18715310</v>
      </c>
      <c r="K310" s="1231">
        <f t="shared" si="25"/>
        <v>96.096902686129667</v>
      </c>
      <c r="L310" s="989"/>
      <c r="M310" s="1267" t="s">
        <v>1814</v>
      </c>
      <c r="N310" s="959"/>
      <c r="O310" s="1070">
        <v>302.64</v>
      </c>
      <c r="P310" s="1021">
        <v>36509475</v>
      </c>
      <c r="Q310" s="1231">
        <f t="shared" si="24"/>
        <v>98.624763118875904</v>
      </c>
      <c r="R310" s="1047"/>
    </row>
    <row r="311" spans="1:18" ht="15">
      <c r="A311" s="1280" t="s">
        <v>1814</v>
      </c>
      <c r="B311" s="1174"/>
      <c r="C311" s="1248">
        <v>158</v>
      </c>
      <c r="D311" s="1249">
        <v>19342593</v>
      </c>
      <c r="E311" s="1243">
        <f t="shared" si="23"/>
        <v>97.195785062296963</v>
      </c>
      <c r="F311" s="1033"/>
      <c r="G311" s="1308" t="s">
        <v>926</v>
      </c>
      <c r="H311" s="969" t="s">
        <v>46</v>
      </c>
      <c r="I311" s="955">
        <v>53.3</v>
      </c>
      <c r="J311" s="162">
        <v>18725156</v>
      </c>
      <c r="K311" s="1231">
        <f t="shared" si="25"/>
        <v>96.147458626899422</v>
      </c>
      <c r="L311" s="989"/>
      <c r="M311" s="1284" t="s">
        <v>917</v>
      </c>
      <c r="N311" s="1104"/>
      <c r="O311" s="1169">
        <v>42.37</v>
      </c>
      <c r="P311" s="1018">
        <v>36550114</v>
      </c>
      <c r="Q311" s="1231">
        <f t="shared" si="24"/>
        <v>98.734543162231446</v>
      </c>
      <c r="R311" s="1047"/>
    </row>
    <row r="312" spans="1:18" ht="15">
      <c r="A312" s="1288" t="s">
        <v>703</v>
      </c>
      <c r="B312" s="1245"/>
      <c r="C312" s="955">
        <v>11</v>
      </c>
      <c r="D312" s="1016">
        <v>19377320</v>
      </c>
      <c r="E312" s="1243">
        <f t="shared" si="23"/>
        <v>97.370286900176623</v>
      </c>
      <c r="F312" s="1033"/>
      <c r="G312" s="1261" t="s">
        <v>1813</v>
      </c>
      <c r="H312" s="1069"/>
      <c r="I312" s="1061">
        <v>8.74</v>
      </c>
      <c r="J312" s="162">
        <v>18762560</v>
      </c>
      <c r="K312" s="1231">
        <f t="shared" si="25"/>
        <v>96.339515747410488</v>
      </c>
      <c r="L312" s="989"/>
      <c r="M312" s="1261" t="s">
        <v>1813</v>
      </c>
      <c r="N312" s="957"/>
      <c r="O312" s="1061">
        <v>16.96</v>
      </c>
      <c r="P312" s="162">
        <v>36565712</v>
      </c>
      <c r="Q312" s="1231">
        <f t="shared" si="24"/>
        <v>98.776678773744024</v>
      </c>
      <c r="R312" s="1047"/>
    </row>
    <row r="313" spans="1:18" ht="15">
      <c r="A313" s="1290" t="s">
        <v>1813</v>
      </c>
      <c r="B313" s="1178"/>
      <c r="C313" s="1070">
        <v>9.18</v>
      </c>
      <c r="D313" s="1016">
        <v>19386496</v>
      </c>
      <c r="E313" s="1243">
        <f t="shared" si="23"/>
        <v>97.416395946866061</v>
      </c>
      <c r="F313" s="1033"/>
      <c r="G313" s="1284" t="s">
        <v>917</v>
      </c>
      <c r="H313" s="1110"/>
      <c r="I313" s="1061">
        <v>25.3</v>
      </c>
      <c r="J313" s="162">
        <v>18774700</v>
      </c>
      <c r="K313" s="1244">
        <f t="shared" si="25"/>
        <v>96.401850616488773</v>
      </c>
      <c r="L313" s="989"/>
      <c r="M313" s="99" t="s">
        <v>703</v>
      </c>
      <c r="N313" s="1250"/>
      <c r="O313" s="1061">
        <v>23.22</v>
      </c>
      <c r="P313" s="162">
        <v>36605043</v>
      </c>
      <c r="Q313" s="1231">
        <f t="shared" si="24"/>
        <v>98.882925455139159</v>
      </c>
      <c r="R313" s="1047"/>
    </row>
    <row r="314" spans="1:18" ht="15">
      <c r="A314" s="1285" t="s">
        <v>917</v>
      </c>
      <c r="B314" s="1234"/>
      <c r="C314" s="1070">
        <v>22</v>
      </c>
      <c r="D314" s="1016">
        <v>19403976</v>
      </c>
      <c r="E314" s="1243">
        <f t="shared" si="23"/>
        <v>97.504232273820207</v>
      </c>
      <c r="F314" s="1170"/>
      <c r="G314" s="99" t="s">
        <v>703</v>
      </c>
      <c r="H314" s="1250"/>
      <c r="I314" s="1061">
        <v>26.41</v>
      </c>
      <c r="J314" s="162">
        <v>18775535</v>
      </c>
      <c r="K314" s="1231">
        <f t="shared" si="25"/>
        <v>96.406138064238391</v>
      </c>
      <c r="L314" s="1171"/>
      <c r="M314" s="1281" t="s">
        <v>926</v>
      </c>
      <c r="N314" s="969" t="s">
        <v>46</v>
      </c>
      <c r="O314" s="1061">
        <v>85.18</v>
      </c>
      <c r="P314" s="162">
        <v>36638392</v>
      </c>
      <c r="Q314" s="1231">
        <f t="shared" si="24"/>
        <v>98.973012678394255</v>
      </c>
      <c r="R314" s="1047"/>
    </row>
    <row r="315" spans="1:18" ht="15">
      <c r="A315" s="1280" t="s">
        <v>1818</v>
      </c>
      <c r="B315" s="1172"/>
      <c r="C315" s="1070">
        <v>42.4</v>
      </c>
      <c r="D315" s="1016">
        <v>19408422</v>
      </c>
      <c r="E315" s="1243">
        <f t="shared" si="23"/>
        <v>97.526573252632446</v>
      </c>
      <c r="F315" s="1033"/>
      <c r="G315" s="1280" t="s">
        <v>1808</v>
      </c>
      <c r="H315" s="957" t="s">
        <v>46</v>
      </c>
      <c r="I315" s="955">
        <v>10.029999999999999</v>
      </c>
      <c r="J315" s="141">
        <v>18841816</v>
      </c>
      <c r="K315" s="1231">
        <f t="shared" si="25"/>
        <v>96.746468991534783</v>
      </c>
      <c r="L315" s="989"/>
      <c r="M315" s="1263" t="s">
        <v>1800</v>
      </c>
      <c r="N315" s="957"/>
      <c r="O315" s="1061">
        <v>16.100000000000001</v>
      </c>
      <c r="P315" s="162">
        <v>36650136</v>
      </c>
      <c r="Q315" s="1231">
        <f t="shared" si="24"/>
        <v>99.004737298320123</v>
      </c>
      <c r="R315" s="1047"/>
    </row>
    <row r="316" spans="1:18" ht="15">
      <c r="A316" s="1286" t="s">
        <v>1808</v>
      </c>
      <c r="B316" s="957" t="s">
        <v>46</v>
      </c>
      <c r="C316" s="1070">
        <v>16.55</v>
      </c>
      <c r="D316" s="1016">
        <v>19439342</v>
      </c>
      <c r="E316" s="1243">
        <f t="shared" si="23"/>
        <v>97.681945062095963</v>
      </c>
      <c r="F316" s="1033"/>
      <c r="G316" s="1261" t="s">
        <v>1818</v>
      </c>
      <c r="H316" s="1173"/>
      <c r="I316" s="1061" t="s">
        <v>647</v>
      </c>
      <c r="J316" s="162">
        <v>18880615</v>
      </c>
      <c r="K316" s="1232">
        <f t="shared" si="25"/>
        <v>96.945688973855098</v>
      </c>
      <c r="L316" s="989"/>
      <c r="M316" s="1280" t="s">
        <v>1808</v>
      </c>
      <c r="N316" s="957" t="s">
        <v>46</v>
      </c>
      <c r="O316" s="1061">
        <v>20.61</v>
      </c>
      <c r="P316" s="162">
        <v>36704140</v>
      </c>
      <c r="Q316" s="1231">
        <f t="shared" si="24"/>
        <v>99.150620845193146</v>
      </c>
      <c r="R316" s="1047"/>
    </row>
    <row r="317" spans="1:18" ht="15">
      <c r="A317" s="1288" t="s">
        <v>1804</v>
      </c>
      <c r="B317" s="1176"/>
      <c r="C317" s="1070">
        <v>1</v>
      </c>
      <c r="D317" s="1016">
        <v>19493317</v>
      </c>
      <c r="E317" s="1243">
        <f t="shared" si="23"/>
        <v>97.953167358855112</v>
      </c>
      <c r="F317" s="1033"/>
      <c r="G317" s="1261" t="s">
        <v>1550</v>
      </c>
      <c r="H317" s="1110"/>
      <c r="I317" s="1061">
        <v>5</v>
      </c>
      <c r="J317" s="162">
        <v>18965833</v>
      </c>
      <c r="K317" s="1231">
        <f t="shared" si="25"/>
        <v>97.383255108378464</v>
      </c>
      <c r="L317" s="989"/>
      <c r="M317" s="1261" t="s">
        <v>1818</v>
      </c>
      <c r="N317" s="961"/>
      <c r="O317" s="1061">
        <v>95.2</v>
      </c>
      <c r="P317" s="141">
        <v>36738431</v>
      </c>
      <c r="Q317" s="1231">
        <f t="shared" si="24"/>
        <v>99.243252737383031</v>
      </c>
      <c r="R317" s="1047"/>
    </row>
    <row r="318" spans="1:18" ht="15">
      <c r="A318" s="1287" t="s">
        <v>1800</v>
      </c>
      <c r="B318" s="1246"/>
      <c r="C318" s="955">
        <v>2.64</v>
      </c>
      <c r="D318" s="1016">
        <v>19495410</v>
      </c>
      <c r="E318" s="1243">
        <f t="shared" si="23"/>
        <v>97.963684603266728</v>
      </c>
      <c r="F318" s="1033"/>
      <c r="G318" s="1226" t="s">
        <v>1809</v>
      </c>
      <c r="H318" s="1110" t="s">
        <v>46</v>
      </c>
      <c r="I318" s="1061">
        <v>5.12</v>
      </c>
      <c r="J318" s="162">
        <v>18973202</v>
      </c>
      <c r="K318" s="1231">
        <f t="shared" si="25"/>
        <v>97.42109247660234</v>
      </c>
      <c r="L318" s="989"/>
      <c r="M318" s="99" t="s">
        <v>1804</v>
      </c>
      <c r="N318" s="1251"/>
      <c r="O318" s="1061">
        <v>1</v>
      </c>
      <c r="P318" s="162">
        <v>36804926</v>
      </c>
      <c r="Q318" s="1231">
        <f t="shared" si="24"/>
        <v>99.42287881043913</v>
      </c>
      <c r="R318" s="1047"/>
    </row>
    <row r="319" spans="1:18" ht="15">
      <c r="A319" s="1280" t="s">
        <v>1812</v>
      </c>
      <c r="B319" s="1247"/>
      <c r="C319" s="1071">
        <v>1</v>
      </c>
      <c r="D319" s="1016">
        <v>19502172</v>
      </c>
      <c r="E319" s="1243">
        <f t="shared" si="23"/>
        <v>97.997663392904258</v>
      </c>
      <c r="F319" s="1033"/>
      <c r="G319" s="1284" t="s">
        <v>1501</v>
      </c>
      <c r="H319" s="959"/>
      <c r="I319" s="1061">
        <v>6.26</v>
      </c>
      <c r="J319" s="162">
        <v>18973219</v>
      </c>
      <c r="K319" s="1231">
        <f t="shared" si="25"/>
        <v>97.421179765957731</v>
      </c>
      <c r="L319" s="989"/>
      <c r="M319" s="1261" t="s">
        <v>1812</v>
      </c>
      <c r="N319" s="957"/>
      <c r="O319" s="1061">
        <v>5</v>
      </c>
      <c r="P319" s="162">
        <v>36878113</v>
      </c>
      <c r="Q319" s="1231">
        <f t="shared" si="24"/>
        <v>99.620582298051076</v>
      </c>
      <c r="R319" s="1047"/>
    </row>
    <row r="320" spans="1:18" ht="15">
      <c r="A320" s="1280" t="s">
        <v>1809</v>
      </c>
      <c r="B320" s="1160" t="s">
        <v>46</v>
      </c>
      <c r="C320" s="1070">
        <v>5.4</v>
      </c>
      <c r="D320" s="1016">
        <v>19515558</v>
      </c>
      <c r="E320" s="1243">
        <f t="shared" si="23"/>
        <v>98.064927527492827</v>
      </c>
      <c r="F320" s="1033"/>
      <c r="G320" s="1261" t="s">
        <v>1812</v>
      </c>
      <c r="H320" s="959"/>
      <c r="I320" s="1175"/>
      <c r="J320" s="162">
        <v>19006450</v>
      </c>
      <c r="K320" s="1231">
        <f t="shared" si="25"/>
        <v>97.591809917056622</v>
      </c>
      <c r="L320" s="989"/>
      <c r="M320" s="1284" t="s">
        <v>1501</v>
      </c>
      <c r="N320" s="1187"/>
      <c r="O320" s="1060">
        <v>12.76</v>
      </c>
      <c r="P320" s="162">
        <v>36888771</v>
      </c>
      <c r="Q320" s="1231">
        <f t="shared" si="24"/>
        <v>99.649373255064859</v>
      </c>
      <c r="R320" s="1047"/>
    </row>
    <row r="321" spans="1:18" ht="15">
      <c r="A321" s="1284" t="s">
        <v>1501</v>
      </c>
      <c r="B321" s="1174"/>
      <c r="C321" s="1071">
        <v>6.4690000000000003</v>
      </c>
      <c r="D321" s="1016">
        <v>19515576</v>
      </c>
      <c r="E321" s="1243">
        <f t="shared" si="23"/>
        <v>98.065017976799751</v>
      </c>
      <c r="F321" s="1033"/>
      <c r="G321" s="1261" t="s">
        <v>1849</v>
      </c>
      <c r="H321" s="957" t="s">
        <v>46</v>
      </c>
      <c r="I321" s="1061">
        <v>3</v>
      </c>
      <c r="J321" s="162">
        <v>19010545</v>
      </c>
      <c r="K321" s="1231">
        <f t="shared" si="25"/>
        <v>97.612836382367632</v>
      </c>
      <c r="L321" s="989"/>
      <c r="M321" s="1226" t="s">
        <v>1809</v>
      </c>
      <c r="N321" s="957" t="s">
        <v>46</v>
      </c>
      <c r="O321" s="1061">
        <v>10</v>
      </c>
      <c r="P321" s="162">
        <v>36889639</v>
      </c>
      <c r="Q321" s="1231">
        <f t="shared" si="24"/>
        <v>99.651718024316878</v>
      </c>
      <c r="R321" s="1047"/>
    </row>
    <row r="322" spans="1:18" ht="15">
      <c r="A322" s="1280" t="s">
        <v>1550</v>
      </c>
      <c r="B322" s="1176"/>
      <c r="C322" s="1070">
        <v>4</v>
      </c>
      <c r="D322" s="1016">
        <v>19515706</v>
      </c>
      <c r="E322" s="1243">
        <f t="shared" si="23"/>
        <v>98.065671221794261</v>
      </c>
      <c r="F322" s="1033"/>
      <c r="G322" s="1226" t="s">
        <v>1817</v>
      </c>
      <c r="H322" s="1074"/>
      <c r="I322" s="1175"/>
      <c r="J322" s="162">
        <v>19043441</v>
      </c>
      <c r="K322" s="1231">
        <f t="shared" si="25"/>
        <v>97.78174641969872</v>
      </c>
      <c r="L322" s="989"/>
      <c r="M322" s="1261" t="s">
        <v>1849</v>
      </c>
      <c r="N322" s="1110" t="s">
        <v>46</v>
      </c>
      <c r="O322" s="1061">
        <v>6</v>
      </c>
      <c r="P322" s="162">
        <v>36908005</v>
      </c>
      <c r="Q322" s="1231">
        <f t="shared" si="24"/>
        <v>99.701330964504081</v>
      </c>
      <c r="R322" s="1047"/>
    </row>
    <row r="323" spans="1:18" ht="15">
      <c r="A323" s="1280" t="s">
        <v>1817</v>
      </c>
      <c r="B323" s="1174"/>
      <c r="C323" s="1071">
        <v>9</v>
      </c>
      <c r="D323" s="1016">
        <v>19543055</v>
      </c>
      <c r="E323" s="1243">
        <f t="shared" si="23"/>
        <v>98.203098893754728</v>
      </c>
      <c r="F323" s="1033"/>
      <c r="G323" s="99" t="s">
        <v>1804</v>
      </c>
      <c r="H323" s="1069"/>
      <c r="I323" s="1177"/>
      <c r="J323" s="141">
        <v>19060839</v>
      </c>
      <c r="K323" s="1230">
        <f t="shared" si="25"/>
        <v>97.8710793729297</v>
      </c>
      <c r="L323" s="989"/>
      <c r="M323" s="1226" t="s">
        <v>1817</v>
      </c>
      <c r="N323" s="1072" t="s">
        <v>46</v>
      </c>
      <c r="O323" s="1061">
        <v>23</v>
      </c>
      <c r="P323" s="162">
        <v>36948003</v>
      </c>
      <c r="Q323" s="1231">
        <f t="shared" si="24"/>
        <v>99.809379444391254</v>
      </c>
      <c r="R323" s="1047"/>
    </row>
    <row r="324" spans="1:18" ht="15">
      <c r="A324" s="1280" t="s">
        <v>1849</v>
      </c>
      <c r="B324" s="1160" t="s">
        <v>46</v>
      </c>
      <c r="C324" s="955">
        <v>3</v>
      </c>
      <c r="D324" s="1022">
        <v>19550163</v>
      </c>
      <c r="E324" s="1243">
        <f t="shared" si="23"/>
        <v>98.238816320069944</v>
      </c>
      <c r="F324" s="1170"/>
      <c r="G324" s="1263" t="s">
        <v>1800</v>
      </c>
      <c r="H324" s="1131"/>
      <c r="I324" s="1061">
        <v>5.46</v>
      </c>
      <c r="J324" s="162">
        <v>19105333</v>
      </c>
      <c r="K324" s="1231">
        <f t="shared" si="25"/>
        <v>98.099541289302806</v>
      </c>
      <c r="L324" s="1171"/>
      <c r="M324" s="1269" t="s">
        <v>1816</v>
      </c>
      <c r="N324" s="964" t="s">
        <v>46</v>
      </c>
      <c r="O324" s="1061">
        <v>1</v>
      </c>
      <c r="P324" s="141">
        <v>36949658</v>
      </c>
      <c r="Q324" s="1231">
        <f t="shared" si="24"/>
        <v>99.813850173783052</v>
      </c>
      <c r="R324" s="1047"/>
    </row>
    <row r="325" spans="1:18" ht="15">
      <c r="A325" s="1291" t="s">
        <v>1816</v>
      </c>
      <c r="B325" s="964" t="s">
        <v>46</v>
      </c>
      <c r="C325" s="1070">
        <v>4</v>
      </c>
      <c r="D325" s="1016">
        <v>19615184</v>
      </c>
      <c r="E325" s="1243">
        <f t="shared" si="23"/>
        <v>98.565544341516485</v>
      </c>
      <c r="F325" s="1033"/>
      <c r="G325" s="1269" t="s">
        <v>1816</v>
      </c>
      <c r="H325" s="964" t="s">
        <v>46</v>
      </c>
      <c r="I325" s="1061">
        <v>1</v>
      </c>
      <c r="J325" s="162">
        <v>19106376</v>
      </c>
      <c r="K325" s="1231">
        <f t="shared" si="25"/>
        <v>98.10489674798886</v>
      </c>
      <c r="L325" s="989"/>
      <c r="M325" s="946" t="s">
        <v>746</v>
      </c>
      <c r="N325" s="1132"/>
      <c r="O325" s="1060"/>
      <c r="P325" s="162">
        <v>37018568</v>
      </c>
      <c r="Q325" s="1231">
        <f t="shared" si="24"/>
        <v>100</v>
      </c>
      <c r="R325" s="1047"/>
    </row>
    <row r="326" spans="1:18" ht="15">
      <c r="A326" s="1304" t="s">
        <v>1566</v>
      </c>
      <c r="B326" s="1160"/>
      <c r="C326" s="1070">
        <v>31.6</v>
      </c>
      <c r="D326" s="1016">
        <v>19603653</v>
      </c>
      <c r="E326" s="1243">
        <f t="shared" si="23"/>
        <v>98.50760151050342</v>
      </c>
      <c r="F326" s="1033"/>
      <c r="G326" s="998" t="s">
        <v>746</v>
      </c>
      <c r="H326" s="1069"/>
      <c r="I326" s="1175"/>
      <c r="J326" s="162">
        <v>19475456</v>
      </c>
      <c r="K326" s="1231">
        <f t="shared" si="25"/>
        <v>100</v>
      </c>
      <c r="L326" s="989"/>
      <c r="M326" s="1261" t="s">
        <v>1550</v>
      </c>
      <c r="N326" s="1067"/>
      <c r="O326" s="1061">
        <v>1</v>
      </c>
      <c r="P326" s="162">
        <v>37018716</v>
      </c>
      <c r="Q326" s="1231">
        <f t="shared" si="24"/>
        <v>100.00039979936555</v>
      </c>
      <c r="R326" s="1047"/>
    </row>
    <row r="327" spans="1:18" ht="15">
      <c r="A327" s="1303" t="s">
        <v>746</v>
      </c>
      <c r="B327" s="1178"/>
      <c r="C327" s="1070"/>
      <c r="D327" s="1016">
        <v>19900650</v>
      </c>
      <c r="E327" s="1243">
        <f t="shared" si="23"/>
        <v>100</v>
      </c>
      <c r="F327" s="1033"/>
      <c r="G327" s="998"/>
      <c r="H327" s="1069"/>
      <c r="I327" s="1175"/>
      <c r="J327" s="162"/>
      <c r="K327" s="1059"/>
      <c r="L327" s="989"/>
      <c r="M327" s="1023" t="s">
        <v>1566</v>
      </c>
      <c r="N327" s="957"/>
      <c r="O327" s="1149">
        <v>62</v>
      </c>
      <c r="P327" s="1024">
        <v>37237551</v>
      </c>
      <c r="Q327" s="1231">
        <f t="shared" si="24"/>
        <v>100.59154908423254</v>
      </c>
      <c r="R327" s="1047"/>
    </row>
    <row r="328" spans="1:18" s="5" customFormat="1" ht="15">
      <c r="A328" s="603"/>
      <c r="B328" s="1077"/>
      <c r="C328" s="1179"/>
      <c r="D328" s="1025"/>
      <c r="E328" s="1180"/>
      <c r="F328" s="1033"/>
      <c r="G328" s="603"/>
      <c r="H328" s="1077"/>
      <c r="I328" s="1181"/>
      <c r="J328" s="1025"/>
      <c r="K328" s="1180"/>
      <c r="L328" s="989"/>
      <c r="M328" s="1026"/>
      <c r="N328" s="1102"/>
      <c r="O328" s="1182"/>
      <c r="P328" s="1027"/>
      <c r="Q328" s="1183"/>
      <c r="R328" s="1170"/>
    </row>
    <row r="329" spans="1:18" s="5" customFormat="1" ht="15">
      <c r="A329" s="1534"/>
      <c r="B329" s="1077"/>
      <c r="C329" s="1179"/>
      <c r="D329" s="1025"/>
      <c r="E329" s="1180"/>
      <c r="F329" s="1033"/>
      <c r="G329" s="1534"/>
      <c r="H329" s="1077"/>
      <c r="I329" s="1181"/>
      <c r="J329" s="1025"/>
      <c r="K329" s="1180"/>
      <c r="L329" s="989"/>
      <c r="M329" s="1534"/>
      <c r="N329" s="1077"/>
      <c r="O329" s="1179"/>
      <c r="P329" s="1025"/>
      <c r="Q329" s="1087"/>
      <c r="R329" s="1170"/>
    </row>
    <row r="330" spans="1:18" s="5" customFormat="1" ht="15">
      <c r="A330" s="1123" t="s">
        <v>948</v>
      </c>
      <c r="B330" s="1077"/>
      <c r="C330" s="1179"/>
      <c r="D330" s="1025"/>
      <c r="E330" s="1180"/>
      <c r="F330" s="1033"/>
      <c r="G330" s="1123" t="s">
        <v>971</v>
      </c>
      <c r="H330" s="1077"/>
      <c r="I330" s="1179"/>
      <c r="J330" s="1025"/>
      <c r="K330" s="1180"/>
      <c r="L330" s="989"/>
      <c r="M330" s="1123"/>
      <c r="N330" s="1077"/>
      <c r="O330" s="1179"/>
      <c r="P330" s="1025"/>
      <c r="Q330" s="1180"/>
      <c r="R330" s="1170"/>
    </row>
    <row r="331" spans="1:18" s="5" customFormat="1" ht="15">
      <c r="A331" s="975" t="s">
        <v>942</v>
      </c>
      <c r="B331" s="1052"/>
      <c r="C331" s="1052"/>
      <c r="D331" s="3154" t="s">
        <v>945</v>
      </c>
      <c r="E331" s="3154"/>
      <c r="F331" s="1033"/>
      <c r="G331" s="975" t="s">
        <v>972</v>
      </c>
      <c r="H331" s="1052"/>
      <c r="I331" s="1157"/>
      <c r="J331" s="3154" t="s">
        <v>973</v>
      </c>
      <c r="K331" s="3154"/>
      <c r="L331" s="989"/>
      <c r="M331" s="1028"/>
      <c r="N331" s="1028"/>
      <c r="O331" s="1028"/>
      <c r="P331" s="3152"/>
      <c r="Q331" s="3152"/>
      <c r="R331" s="1170"/>
    </row>
    <row r="332" spans="1:18" s="5" customFormat="1" ht="15">
      <c r="A332" s="1310" t="s">
        <v>725</v>
      </c>
      <c r="B332" s="1184"/>
      <c r="C332" s="1185">
        <v>85.734999999999999</v>
      </c>
      <c r="D332" s="1029">
        <v>115366235</v>
      </c>
      <c r="E332" s="1231">
        <f t="shared" ref="E332:E357" si="26">(D332*100/131430398)</f>
        <v>87.777437149661523</v>
      </c>
      <c r="F332" s="1033"/>
      <c r="G332" s="1268" t="s">
        <v>1815</v>
      </c>
      <c r="H332" s="1186"/>
      <c r="I332" s="1054">
        <v>31.08</v>
      </c>
      <c r="J332" s="939">
        <v>16501679</v>
      </c>
      <c r="K332" s="1231">
        <f t="shared" ref="K332:K354" si="27">(J332*100/17277593)</f>
        <v>95.509131393475926</v>
      </c>
      <c r="L332" s="989"/>
      <c r="M332" s="56"/>
      <c r="N332" s="56"/>
      <c r="O332" s="1147"/>
      <c r="P332" s="608"/>
      <c r="Q332" s="1087"/>
      <c r="R332" s="1170"/>
    </row>
    <row r="333" spans="1:18" s="5" customFormat="1" ht="15">
      <c r="A333" s="1311" t="s">
        <v>1246</v>
      </c>
      <c r="B333" s="1187"/>
      <c r="C333" s="1060">
        <v>101.74</v>
      </c>
      <c r="D333" s="162">
        <v>116431200</v>
      </c>
      <c r="E333" s="1231">
        <f t="shared" si="26"/>
        <v>88.587725344938846</v>
      </c>
      <c r="F333" s="1033"/>
      <c r="G333" s="1222" t="s">
        <v>1819</v>
      </c>
      <c r="H333" s="1078" t="s">
        <v>46</v>
      </c>
      <c r="I333" s="1320">
        <v>1988.92</v>
      </c>
      <c r="J333" s="1325">
        <v>16528616</v>
      </c>
      <c r="K333" s="1231">
        <f t="shared" si="27"/>
        <v>95.665038527067978</v>
      </c>
      <c r="L333" s="989"/>
      <c r="M333" s="593"/>
      <c r="N333" s="1077"/>
      <c r="O333" s="1147"/>
      <c r="P333" s="55"/>
      <c r="Q333" s="1087"/>
      <c r="R333" s="1170"/>
    </row>
    <row r="334" spans="1:18" s="5" customFormat="1" ht="15">
      <c r="A334" s="1306" t="s">
        <v>1566</v>
      </c>
      <c r="B334" s="1069"/>
      <c r="C334" s="1061">
        <v>55.03</v>
      </c>
      <c r="D334" s="162">
        <v>120000797</v>
      </c>
      <c r="E334" s="1231">
        <f t="shared" si="26"/>
        <v>91.303685316390812</v>
      </c>
      <c r="F334" s="1033"/>
      <c r="G334" s="1262" t="s">
        <v>1242</v>
      </c>
      <c r="H334" s="957" t="s">
        <v>46</v>
      </c>
      <c r="I334" s="1061">
        <v>220.55</v>
      </c>
      <c r="J334" s="943">
        <v>16552555</v>
      </c>
      <c r="K334" s="1231">
        <f t="shared" si="27"/>
        <v>95.803593706600225</v>
      </c>
      <c r="L334" s="989"/>
      <c r="M334" s="593"/>
      <c r="N334" s="1077"/>
      <c r="O334" s="1147"/>
      <c r="P334" s="55"/>
      <c r="Q334" s="1087"/>
      <c r="R334" s="1170"/>
    </row>
    <row r="335" spans="1:18" s="5" customFormat="1" ht="15">
      <c r="A335" s="1280" t="s">
        <v>1819</v>
      </c>
      <c r="B335" s="1078" t="s">
        <v>46</v>
      </c>
      <c r="C335" s="1061">
        <v>14379.29</v>
      </c>
      <c r="D335" s="162">
        <v>127876404</v>
      </c>
      <c r="E335" s="1231">
        <f t="shared" si="26"/>
        <v>97.295911711383539</v>
      </c>
      <c r="F335" s="1033"/>
      <c r="G335" s="1262" t="s">
        <v>1806</v>
      </c>
      <c r="H335" s="963" t="s">
        <v>46</v>
      </c>
      <c r="I335" s="1061">
        <v>31.03</v>
      </c>
      <c r="J335" s="162">
        <v>16578638</v>
      </c>
      <c r="K335" s="1231">
        <f t="shared" si="27"/>
        <v>95.954558022057824</v>
      </c>
      <c r="L335" s="593"/>
      <c r="M335" s="593"/>
      <c r="N335" s="1077"/>
      <c r="O335" s="1147"/>
      <c r="P335" s="55"/>
      <c r="Q335" s="1087"/>
      <c r="R335" s="1170"/>
    </row>
    <row r="336" spans="1:18" s="5" customFormat="1" ht="15">
      <c r="A336" s="1284" t="s">
        <v>1242</v>
      </c>
      <c r="B336" s="957" t="s">
        <v>46</v>
      </c>
      <c r="C336" s="1060">
        <v>1681.7</v>
      </c>
      <c r="D336" s="162">
        <v>128212446</v>
      </c>
      <c r="E336" s="1231">
        <f t="shared" si="26"/>
        <v>97.551592288414128</v>
      </c>
      <c r="F336" s="1170"/>
      <c r="G336" s="1280" t="s">
        <v>146</v>
      </c>
      <c r="H336" s="1136"/>
      <c r="I336" s="1061">
        <v>491.4</v>
      </c>
      <c r="J336" s="162">
        <v>16593272</v>
      </c>
      <c r="K336" s="1231">
        <f t="shared" si="27"/>
        <v>96.039257320160274</v>
      </c>
      <c r="L336" s="989"/>
      <c r="M336" s="593"/>
      <c r="N336" s="1044"/>
      <c r="O336" s="1147"/>
      <c r="P336" s="55"/>
      <c r="Q336" s="1087"/>
      <c r="R336" s="1170"/>
    </row>
    <row r="337" spans="1:18" s="5" customFormat="1" ht="15">
      <c r="A337" s="1280" t="s">
        <v>1815</v>
      </c>
      <c r="B337" s="1075"/>
      <c r="C337" s="1070">
        <v>218.12</v>
      </c>
      <c r="D337" s="979">
        <v>128515426</v>
      </c>
      <c r="E337" s="1231">
        <f t="shared" si="26"/>
        <v>97.78211734548654</v>
      </c>
      <c r="F337" s="1170"/>
      <c r="G337" s="1267" t="s">
        <v>1814</v>
      </c>
      <c r="H337" s="957"/>
      <c r="I337" s="1070">
        <v>159.80000000000001</v>
      </c>
      <c r="J337" s="979">
        <v>16611118</v>
      </c>
      <c r="K337" s="1231">
        <f t="shared" si="27"/>
        <v>96.142547170777775</v>
      </c>
      <c r="L337" s="989"/>
      <c r="M337" s="593"/>
      <c r="N337" s="1044"/>
      <c r="O337" s="1147"/>
      <c r="P337" s="55"/>
      <c r="Q337" s="1087"/>
      <c r="R337" s="1170"/>
    </row>
    <row r="338" spans="1:18" s="5" customFormat="1" ht="15">
      <c r="A338" s="1286" t="s">
        <v>146</v>
      </c>
      <c r="B338" s="1075"/>
      <c r="C338" s="1070">
        <v>3856.1</v>
      </c>
      <c r="D338" s="944">
        <v>129015212</v>
      </c>
      <c r="E338" s="1233">
        <f t="shared" si="26"/>
        <v>98.162384017128218</v>
      </c>
      <c r="F338" s="1170"/>
      <c r="G338" s="1225" t="s">
        <v>703</v>
      </c>
      <c r="H338" s="956"/>
      <c r="I338" s="1070">
        <v>9.968</v>
      </c>
      <c r="J338" s="944">
        <v>16685151</v>
      </c>
      <c r="K338" s="1233">
        <f t="shared" si="27"/>
        <v>96.571038570013769</v>
      </c>
      <c r="L338" s="989"/>
      <c r="M338" s="593"/>
      <c r="N338" s="1044"/>
      <c r="O338" s="1147"/>
      <c r="P338" s="55"/>
      <c r="Q338" s="1087"/>
      <c r="R338" s="1170"/>
    </row>
    <row r="339" spans="1:18" s="5" customFormat="1" ht="15">
      <c r="A339" s="1280" t="s">
        <v>1814</v>
      </c>
      <c r="B339" s="959"/>
      <c r="C339" s="1060">
        <v>1164.5899999999999</v>
      </c>
      <c r="D339" s="943">
        <v>129210060</v>
      </c>
      <c r="E339" s="1231">
        <f t="shared" si="26"/>
        <v>98.310635869793231</v>
      </c>
      <c r="F339" s="1170"/>
      <c r="G339" s="1309" t="s">
        <v>926</v>
      </c>
      <c r="H339" s="969" t="s">
        <v>46</v>
      </c>
      <c r="I339" s="1061">
        <v>88.4</v>
      </c>
      <c r="J339" s="943">
        <v>16703150</v>
      </c>
      <c r="K339" s="1231">
        <f t="shared" si="27"/>
        <v>96.675213960648335</v>
      </c>
      <c r="L339" s="989"/>
      <c r="M339" s="593"/>
      <c r="N339" s="1044"/>
      <c r="O339" s="1147"/>
      <c r="P339" s="55"/>
      <c r="Q339" s="1087"/>
      <c r="R339" s="1170"/>
    </row>
    <row r="340" spans="1:18" s="5" customFormat="1" ht="15">
      <c r="A340" s="1280" t="s">
        <v>1813</v>
      </c>
      <c r="B340" s="1084"/>
      <c r="C340" s="1060">
        <v>71.597999999999999</v>
      </c>
      <c r="D340" s="162">
        <v>129520576</v>
      </c>
      <c r="E340" s="1231">
        <f t="shared" si="26"/>
        <v>98.546894760221306</v>
      </c>
      <c r="F340" s="1033"/>
      <c r="G340" s="1300" t="s">
        <v>917</v>
      </c>
      <c r="H340" s="959"/>
      <c r="I340" s="1060">
        <v>19.260000000000002</v>
      </c>
      <c r="J340" s="162">
        <v>16703833</v>
      </c>
      <c r="K340" s="1231">
        <f t="shared" si="27"/>
        <v>96.67916705758725</v>
      </c>
      <c r="L340" s="989"/>
      <c r="M340" s="56"/>
      <c r="N340" s="603"/>
      <c r="O340" s="1147"/>
      <c r="P340" s="55"/>
      <c r="Q340" s="1087"/>
      <c r="R340" s="1170"/>
    </row>
    <row r="341" spans="1:18" s="5" customFormat="1" ht="15">
      <c r="A341" s="1285" t="s">
        <v>917</v>
      </c>
      <c r="B341" s="1188"/>
      <c r="C341" s="1060">
        <v>179</v>
      </c>
      <c r="D341" s="943">
        <v>129559539</v>
      </c>
      <c r="E341" s="1232">
        <f t="shared" si="26"/>
        <v>98.576540109084959</v>
      </c>
      <c r="F341" s="1033"/>
      <c r="G341" s="1261" t="s">
        <v>1813</v>
      </c>
      <c r="H341" s="1189" t="s">
        <v>46</v>
      </c>
      <c r="I341" s="1061">
        <v>7.53</v>
      </c>
      <c r="J341" s="943">
        <v>16714576</v>
      </c>
      <c r="K341" s="1232">
        <f t="shared" si="27"/>
        <v>96.741345857608749</v>
      </c>
      <c r="L341" s="989"/>
      <c r="M341" s="56"/>
      <c r="N341" s="603"/>
      <c r="O341" s="1147"/>
      <c r="P341" s="55"/>
      <c r="Q341" s="1087"/>
      <c r="R341" s="1170"/>
    </row>
    <row r="342" spans="1:18" s="5" customFormat="1" ht="15">
      <c r="A342" s="1292" t="s">
        <v>926</v>
      </c>
      <c r="B342" s="969" t="s">
        <v>46</v>
      </c>
      <c r="C342" s="1060">
        <v>85.85</v>
      </c>
      <c r="D342" s="943">
        <v>129608624</v>
      </c>
      <c r="E342" s="1231">
        <f t="shared" si="26"/>
        <v>98.613886872654831</v>
      </c>
      <c r="F342" s="1033"/>
      <c r="G342" s="1261" t="s">
        <v>1818</v>
      </c>
      <c r="H342" s="1254"/>
      <c r="I342" s="1061">
        <v>31.7</v>
      </c>
      <c r="J342" s="162">
        <v>16780057</v>
      </c>
      <c r="K342" s="1231">
        <f t="shared" si="27"/>
        <v>97.120339621381291</v>
      </c>
      <c r="L342" s="989"/>
      <c r="M342" s="593"/>
      <c r="N342" s="1077"/>
      <c r="O342" s="1147"/>
      <c r="P342" s="55"/>
      <c r="Q342" s="1087"/>
      <c r="R342" s="1170"/>
    </row>
    <row r="343" spans="1:18" s="5" customFormat="1" ht="15">
      <c r="A343" s="1288" t="s">
        <v>703</v>
      </c>
      <c r="B343" s="1253"/>
      <c r="C343" s="1061">
        <v>78.73</v>
      </c>
      <c r="D343" s="943">
        <v>129617273</v>
      </c>
      <c r="E343" s="1231">
        <f t="shared" si="26"/>
        <v>98.620467542067402</v>
      </c>
      <c r="F343" s="1033"/>
      <c r="G343" s="1263" t="s">
        <v>1800</v>
      </c>
      <c r="H343" s="1110"/>
      <c r="I343" s="1061">
        <v>4.7</v>
      </c>
      <c r="J343" s="162">
        <v>16781527</v>
      </c>
      <c r="K343" s="1231">
        <f t="shared" si="27"/>
        <v>97.128847750956979</v>
      </c>
      <c r="L343" s="989"/>
      <c r="M343" s="593"/>
      <c r="N343" s="593"/>
      <c r="O343" s="1153"/>
      <c r="P343" s="55"/>
      <c r="Q343" s="1087"/>
      <c r="R343" s="1170"/>
    </row>
    <row r="344" spans="1:18" s="5" customFormat="1" ht="15">
      <c r="A344" s="1287" t="s">
        <v>1800</v>
      </c>
      <c r="B344" s="1191"/>
      <c r="C344" s="1060">
        <v>31.4</v>
      </c>
      <c r="D344" s="943">
        <v>129744885</v>
      </c>
      <c r="E344" s="1231">
        <f t="shared" si="26"/>
        <v>98.71756227961815</v>
      </c>
      <c r="F344" s="1033"/>
      <c r="G344" s="1280" t="s">
        <v>1808</v>
      </c>
      <c r="H344" s="957" t="s">
        <v>46</v>
      </c>
      <c r="I344" s="1061">
        <v>9.8699999999999992</v>
      </c>
      <c r="J344" s="945">
        <v>16783792</v>
      </c>
      <c r="K344" s="1231">
        <f t="shared" si="27"/>
        <v>97.14195721591544</v>
      </c>
      <c r="L344" s="989"/>
      <c r="M344" s="56"/>
      <c r="N344" s="1190"/>
      <c r="O344" s="1147"/>
      <c r="P344" s="55"/>
      <c r="Q344" s="1087"/>
      <c r="R344" s="1170"/>
    </row>
    <row r="345" spans="1:18" s="5" customFormat="1" ht="15">
      <c r="A345" s="1286" t="s">
        <v>1808</v>
      </c>
      <c r="B345" s="957" t="s">
        <v>46</v>
      </c>
      <c r="C345" s="1060">
        <v>87.42</v>
      </c>
      <c r="D345" s="943">
        <v>129873612</v>
      </c>
      <c r="E345" s="1231">
        <f t="shared" si="26"/>
        <v>98.815505374943783</v>
      </c>
      <c r="F345" s="1033"/>
      <c r="G345" s="1261" t="s">
        <v>1812</v>
      </c>
      <c r="H345" s="959"/>
      <c r="I345" s="1060">
        <v>1</v>
      </c>
      <c r="J345" s="162">
        <v>16877426</v>
      </c>
      <c r="K345" s="1231">
        <f t="shared" si="27"/>
        <v>97.683896130670519</v>
      </c>
      <c r="L345" s="989"/>
      <c r="M345" s="1013"/>
      <c r="N345" s="1013"/>
      <c r="O345" s="1147"/>
      <c r="P345" s="55"/>
      <c r="Q345" s="1087"/>
      <c r="R345" s="1170"/>
    </row>
    <row r="346" spans="1:18" s="5" customFormat="1" ht="15">
      <c r="A346" s="1284" t="s">
        <v>1806</v>
      </c>
      <c r="B346" s="963" t="s">
        <v>46</v>
      </c>
      <c r="C346" s="1060">
        <v>115.13</v>
      </c>
      <c r="D346" s="943">
        <v>130043880</v>
      </c>
      <c r="E346" s="1231">
        <f t="shared" si="26"/>
        <v>98.945055313611689</v>
      </c>
      <c r="F346" s="1033"/>
      <c r="G346" s="1261" t="s">
        <v>1550</v>
      </c>
      <c r="H346" s="961"/>
      <c r="I346" s="1061">
        <v>3</v>
      </c>
      <c r="J346" s="141">
        <v>16896558</v>
      </c>
      <c r="K346" s="1231">
        <f t="shared" si="27"/>
        <v>97.794629147705933</v>
      </c>
      <c r="L346" s="989"/>
      <c r="M346" s="593"/>
      <c r="N346" s="1077"/>
      <c r="O346" s="1147"/>
      <c r="P346" s="596"/>
      <c r="Q346" s="1087"/>
      <c r="R346" s="1170"/>
    </row>
    <row r="347" spans="1:18" s="5" customFormat="1" ht="15">
      <c r="A347" s="1280" t="s">
        <v>1818</v>
      </c>
      <c r="B347" s="1193"/>
      <c r="C347" s="1061">
        <v>257.89999999999998</v>
      </c>
      <c r="D347" s="943">
        <v>130496371</v>
      </c>
      <c r="E347" s="1231">
        <f t="shared" si="26"/>
        <v>99.289337159277267</v>
      </c>
      <c r="F347" s="1033"/>
      <c r="G347" s="1261" t="s">
        <v>1849</v>
      </c>
      <c r="H347" s="1110" t="s">
        <v>46</v>
      </c>
      <c r="I347" s="1061">
        <v>3</v>
      </c>
      <c r="J347" s="162">
        <v>16901467</v>
      </c>
      <c r="K347" s="1231">
        <f t="shared" si="27"/>
        <v>97.823041670214138</v>
      </c>
      <c r="L347" s="989"/>
      <c r="M347" s="593"/>
      <c r="N347" s="593"/>
      <c r="O347" s="1153"/>
      <c r="P347" s="55"/>
      <c r="Q347" s="1087"/>
      <c r="R347" s="1170"/>
    </row>
    <row r="348" spans="1:18" s="5" customFormat="1" ht="15">
      <c r="A348" s="1280" t="s">
        <v>1849</v>
      </c>
      <c r="B348" s="1191" t="s">
        <v>46</v>
      </c>
      <c r="C348" s="1061">
        <v>30</v>
      </c>
      <c r="D348" s="945">
        <v>130715460</v>
      </c>
      <c r="E348" s="1231">
        <f t="shared" si="26"/>
        <v>99.456032994741449</v>
      </c>
      <c r="F348" s="1033"/>
      <c r="G348" s="1001" t="s">
        <v>1566</v>
      </c>
      <c r="H348" s="1110"/>
      <c r="I348" s="1061">
        <v>25</v>
      </c>
      <c r="J348" s="162">
        <v>16904624</v>
      </c>
      <c r="K348" s="1231">
        <f t="shared" si="27"/>
        <v>97.841313891350495</v>
      </c>
      <c r="L348" s="989"/>
      <c r="M348" s="56"/>
      <c r="N348" s="1013"/>
      <c r="O348" s="1147"/>
      <c r="P348" s="55"/>
      <c r="Q348" s="1087"/>
      <c r="R348" s="1170"/>
    </row>
    <row r="349" spans="1:18" s="5" customFormat="1" ht="15">
      <c r="A349" s="1284" t="s">
        <v>1501</v>
      </c>
      <c r="B349" s="1191"/>
      <c r="C349" s="1060">
        <v>43.9</v>
      </c>
      <c r="D349" s="943">
        <v>130747250</v>
      </c>
      <c r="E349" s="1231">
        <f t="shared" si="26"/>
        <v>99.48022070206315</v>
      </c>
      <c r="F349" s="1033"/>
      <c r="G349" s="1226" t="s">
        <v>1817</v>
      </c>
      <c r="H349" s="959"/>
      <c r="I349" s="1060">
        <v>11</v>
      </c>
      <c r="J349" s="162">
        <v>16909328</v>
      </c>
      <c r="K349" s="1231">
        <f t="shared" si="27"/>
        <v>97.868539905992691</v>
      </c>
      <c r="L349" s="989"/>
      <c r="M349" s="56"/>
      <c r="N349" s="1077"/>
      <c r="O349" s="1147"/>
      <c r="P349" s="55"/>
      <c r="Q349" s="1087"/>
      <c r="R349" s="1170"/>
    </row>
    <row r="350" spans="1:18" s="5" customFormat="1" ht="15">
      <c r="A350" s="1296" t="s">
        <v>1804</v>
      </c>
      <c r="B350" s="1134"/>
      <c r="C350" s="1060">
        <v>3</v>
      </c>
      <c r="D350" s="943">
        <v>130816020</v>
      </c>
      <c r="E350" s="1231">
        <f t="shared" si="26"/>
        <v>99.532544974869509</v>
      </c>
      <c r="F350" s="1033"/>
      <c r="G350" s="1269" t="s">
        <v>1816</v>
      </c>
      <c r="H350" s="964" t="s">
        <v>46</v>
      </c>
      <c r="I350" s="1061">
        <v>1</v>
      </c>
      <c r="J350" s="162">
        <v>16926033</v>
      </c>
      <c r="K350" s="1231">
        <f t="shared" si="27"/>
        <v>97.965225827463357</v>
      </c>
      <c r="L350" s="989"/>
      <c r="M350" s="56"/>
      <c r="N350" s="1077"/>
      <c r="O350" s="1147"/>
      <c r="P350" s="55"/>
      <c r="Q350" s="1087"/>
      <c r="R350" s="1170"/>
    </row>
    <row r="351" spans="1:18" s="5" customFormat="1" ht="15">
      <c r="A351" s="1278" t="s">
        <v>1809</v>
      </c>
      <c r="B351" s="1111" t="s">
        <v>46</v>
      </c>
      <c r="C351" s="1061">
        <v>37</v>
      </c>
      <c r="D351" s="162">
        <v>130844157</v>
      </c>
      <c r="E351" s="1231">
        <f t="shared" si="26"/>
        <v>99.553953264297348</v>
      </c>
      <c r="F351" s="1033"/>
      <c r="G351" s="1226" t="s">
        <v>1809</v>
      </c>
      <c r="H351" s="957" t="s">
        <v>46</v>
      </c>
      <c r="I351" s="1061">
        <v>4.8499999999999996</v>
      </c>
      <c r="J351" s="162">
        <v>16928151</v>
      </c>
      <c r="K351" s="1231">
        <f t="shared" si="27"/>
        <v>97.977484479464238</v>
      </c>
      <c r="L351" s="989"/>
      <c r="M351" s="593"/>
      <c r="N351" s="593"/>
      <c r="O351" s="1153"/>
      <c r="P351" s="55"/>
      <c r="Q351" s="1087"/>
      <c r="R351" s="1170"/>
    </row>
    <row r="352" spans="1:18" s="5" customFormat="1" ht="15">
      <c r="A352" s="1280" t="s">
        <v>1812</v>
      </c>
      <c r="B352" s="1187"/>
      <c r="C352" s="1060">
        <v>22</v>
      </c>
      <c r="D352" s="162">
        <v>130859451</v>
      </c>
      <c r="E352" s="1231">
        <f t="shared" si="26"/>
        <v>99.56558984170465</v>
      </c>
      <c r="F352" s="1033"/>
      <c r="G352" s="1284" t="s">
        <v>1501</v>
      </c>
      <c r="H352" s="957"/>
      <c r="I352" s="1061">
        <v>5.51</v>
      </c>
      <c r="J352" s="162">
        <v>16928635</v>
      </c>
      <c r="K352" s="1231">
        <f t="shared" si="27"/>
        <v>97.980285795596643</v>
      </c>
      <c r="L352" s="989"/>
      <c r="M352" s="603"/>
      <c r="N352" s="1077"/>
      <c r="O352" s="1147"/>
      <c r="P352" s="55"/>
      <c r="Q352" s="1087"/>
      <c r="R352" s="1170"/>
    </row>
    <row r="353" spans="1:18" s="5" customFormat="1" ht="15">
      <c r="A353" s="1280" t="s">
        <v>1550</v>
      </c>
      <c r="B353" s="959"/>
      <c r="C353" s="1060">
        <v>9</v>
      </c>
      <c r="D353" s="162">
        <v>131060611</v>
      </c>
      <c r="E353" s="1231">
        <f t="shared" si="26"/>
        <v>99.718644236320429</v>
      </c>
      <c r="F353" s="1033"/>
      <c r="G353" s="946" t="s">
        <v>1804</v>
      </c>
      <c r="H353" s="1192"/>
      <c r="I353" s="1061">
        <v>1</v>
      </c>
      <c r="J353" s="162">
        <v>17001003</v>
      </c>
      <c r="K353" s="1231">
        <f t="shared" si="27"/>
        <v>98.39914043582344</v>
      </c>
      <c r="L353" s="989"/>
      <c r="M353" s="56"/>
      <c r="N353" s="56"/>
      <c r="O353" s="1147"/>
      <c r="P353" s="55"/>
      <c r="Q353" s="1087"/>
      <c r="R353" s="1170"/>
    </row>
    <row r="354" spans="1:18" s="5" customFormat="1" ht="15">
      <c r="A354" s="1280" t="s">
        <v>1817</v>
      </c>
      <c r="B354" s="959"/>
      <c r="C354" s="1060">
        <v>94</v>
      </c>
      <c r="D354" s="162">
        <v>131082737</v>
      </c>
      <c r="E354" s="1231">
        <f t="shared" si="26"/>
        <v>99.735479002353784</v>
      </c>
      <c r="F354" s="1033"/>
      <c r="G354" s="998" t="s">
        <v>746</v>
      </c>
      <c r="H354" s="1069"/>
      <c r="I354" s="1061"/>
      <c r="J354" s="162">
        <v>17277593</v>
      </c>
      <c r="K354" s="1231">
        <f t="shared" si="27"/>
        <v>100</v>
      </c>
      <c r="L354" s="989"/>
      <c r="M354" s="56"/>
      <c r="N354" s="56"/>
      <c r="O354" s="1147"/>
      <c r="P354" s="55"/>
      <c r="Q354" s="1087"/>
      <c r="R354" s="1170"/>
    </row>
    <row r="355" spans="1:18" s="5" customFormat="1" ht="15">
      <c r="A355" s="1291" t="s">
        <v>1816</v>
      </c>
      <c r="B355" s="964" t="s">
        <v>46</v>
      </c>
      <c r="C355" s="1061">
        <v>44</v>
      </c>
      <c r="D355" s="162">
        <v>131092311</v>
      </c>
      <c r="E355" s="1231">
        <f t="shared" si="26"/>
        <v>99.74276346633296</v>
      </c>
      <c r="F355" s="1033"/>
      <c r="G355" s="1030" t="s">
        <v>946</v>
      </c>
      <c r="H355" s="1193"/>
      <c r="I355" s="1061"/>
      <c r="J355" s="986" t="s">
        <v>694</v>
      </c>
      <c r="K355" s="1059"/>
      <c r="L355" s="989"/>
      <c r="M355" s="1013"/>
      <c r="N355" s="1013"/>
      <c r="O355" s="1147"/>
      <c r="P355" s="1025"/>
      <c r="Q355" s="1087"/>
      <c r="R355" s="1170"/>
    </row>
    <row r="356" spans="1:18" s="5" customFormat="1" ht="15">
      <c r="A356" s="1312" t="s">
        <v>947</v>
      </c>
      <c r="B356" s="1075" t="s">
        <v>46</v>
      </c>
      <c r="C356" s="1061">
        <f>5.8+15.6+10.3+14.5+12.8+14.1+18.2+17+29.7+21.7+19.6+19.7+23+25.4+24.3+19.9+27.2+21.1+26.2+24.2+27.5+26.8+36.3+35.4</f>
        <v>516.29999999999995</v>
      </c>
      <c r="D356" s="162">
        <v>131231214</v>
      </c>
      <c r="E356" s="1231">
        <f t="shared" si="26"/>
        <v>99.848449062750305</v>
      </c>
      <c r="F356" s="1033"/>
      <c r="G356" s="983" t="s">
        <v>723</v>
      </c>
      <c r="H356" s="957"/>
      <c r="I356" s="1082"/>
      <c r="J356" s="986" t="s">
        <v>694</v>
      </c>
      <c r="K356" s="1059"/>
      <c r="L356" s="989"/>
      <c r="M356" s="603"/>
      <c r="N356" s="1077"/>
      <c r="O356" s="1179"/>
      <c r="P356" s="1025"/>
      <c r="Q356" s="1087"/>
      <c r="R356" s="1170"/>
    </row>
    <row r="357" spans="1:18" s="5" customFormat="1" ht="15">
      <c r="A357" s="1303" t="s">
        <v>746</v>
      </c>
      <c r="B357" s="1065"/>
      <c r="C357" s="1081"/>
      <c r="D357" s="162">
        <v>131430398</v>
      </c>
      <c r="E357" s="1231">
        <f t="shared" si="26"/>
        <v>100</v>
      </c>
      <c r="F357" s="1033"/>
      <c r="G357" s="1031" t="s">
        <v>724</v>
      </c>
      <c r="H357" s="957" t="s">
        <v>46</v>
      </c>
      <c r="I357" s="1082"/>
      <c r="J357" s="986" t="s">
        <v>694</v>
      </c>
      <c r="K357" s="1059"/>
      <c r="L357" s="989"/>
      <c r="M357" s="1032"/>
      <c r="N357" s="1077"/>
      <c r="O357" s="1179"/>
      <c r="P357" s="1025"/>
      <c r="Q357" s="1087"/>
      <c r="R357" s="1170"/>
    </row>
    <row r="358" spans="1:18" s="5" customFormat="1" ht="15">
      <c r="A358" s="603"/>
      <c r="B358" s="1077"/>
      <c r="C358" s="1179"/>
      <c r="D358" s="1025"/>
      <c r="E358" s="1180"/>
      <c r="F358" s="1033"/>
      <c r="G358" s="603"/>
      <c r="H358" s="1077"/>
      <c r="I358" s="1181"/>
      <c r="J358" s="1025"/>
      <c r="K358" s="1180"/>
      <c r="L358" s="989"/>
      <c r="M358" s="603"/>
      <c r="N358" s="1077"/>
      <c r="O358" s="1179"/>
      <c r="P358" s="1025"/>
      <c r="Q358" s="1180"/>
      <c r="R358" s="1170"/>
    </row>
    <row r="359" spans="1:18" ht="17.25">
      <c r="A359" s="1033"/>
      <c r="B359" s="1355" t="s">
        <v>1821</v>
      </c>
      <c r="C359" s="1033"/>
      <c r="D359" s="1033"/>
      <c r="E359" s="1046"/>
      <c r="F359" s="1033"/>
      <c r="G359" s="989"/>
      <c r="H359" s="989"/>
      <c r="I359" s="989"/>
      <c r="J359" s="989"/>
      <c r="K359" s="989"/>
      <c r="L359" s="989"/>
      <c r="M359" s="989"/>
      <c r="N359" s="1033"/>
      <c r="O359" s="1033"/>
      <c r="P359" s="1033"/>
      <c r="Q359" s="1046"/>
      <c r="R359" s="1047"/>
    </row>
    <row r="360" spans="1:18" ht="17.25">
      <c r="A360" s="593"/>
      <c r="B360" s="627" t="s">
        <v>1645</v>
      </c>
      <c r="C360" s="593"/>
      <c r="D360" s="55"/>
      <c r="E360" s="1086"/>
      <c r="F360" s="1033"/>
      <c r="G360" s="1356"/>
      <c r="H360" s="1356"/>
      <c r="I360" s="1356"/>
      <c r="J360" s="1356"/>
      <c r="K360" s="1356"/>
      <c r="L360" s="1356"/>
      <c r="M360" s="1356"/>
      <c r="N360" s="1033"/>
      <c r="O360" s="1033"/>
      <c r="P360" s="1033"/>
      <c r="Q360" s="1046"/>
      <c r="R360" s="1047"/>
    </row>
    <row r="361" spans="1:18" ht="17.25">
      <c r="A361" s="593"/>
      <c r="B361" s="64" t="s">
        <v>1859</v>
      </c>
      <c r="C361" s="593"/>
      <c r="D361" s="55"/>
      <c r="E361" s="1086"/>
      <c r="F361" s="1033"/>
      <c r="G361" s="989"/>
      <c r="H361" s="989"/>
      <c r="I361" s="989"/>
      <c r="J361" s="989"/>
      <c r="K361" s="989"/>
      <c r="L361" s="989"/>
      <c r="M361" s="989"/>
      <c r="N361" s="1033"/>
      <c r="O361" s="1033"/>
      <c r="P361" s="1033"/>
      <c r="Q361" s="1046"/>
      <c r="R361" s="1047"/>
    </row>
    <row r="362" spans="1:18" ht="15">
      <c r="A362" s="593"/>
      <c r="B362" s="593"/>
      <c r="C362" s="593"/>
      <c r="D362" s="55"/>
      <c r="E362" s="1086"/>
      <c r="F362" s="1033"/>
      <c r="G362" s="989"/>
      <c r="H362" s="989"/>
      <c r="I362" s="989"/>
      <c r="J362" s="989"/>
      <c r="K362" s="989"/>
      <c r="L362" s="989"/>
      <c r="M362" s="989"/>
      <c r="N362" s="1033"/>
      <c r="O362" s="1033"/>
      <c r="P362" s="1033"/>
      <c r="Q362" s="1046"/>
      <c r="R362" s="1047"/>
    </row>
    <row r="363" spans="1:18" ht="15">
      <c r="A363" s="1033"/>
      <c r="B363" s="1033"/>
      <c r="C363" s="1033"/>
      <c r="D363" s="1033"/>
      <c r="E363" s="1046"/>
      <c r="F363" s="1033"/>
      <c r="G363" s="989"/>
      <c r="H363" s="989"/>
      <c r="I363" s="989"/>
      <c r="J363" s="989"/>
      <c r="K363" s="989"/>
      <c r="L363" s="989"/>
      <c r="M363" s="989"/>
      <c r="N363" s="1033"/>
      <c r="O363" s="1033"/>
      <c r="P363" s="1033"/>
      <c r="Q363" s="1046"/>
      <c r="R363" s="1047"/>
    </row>
    <row r="364" spans="1:18" ht="20.25">
      <c r="A364" s="1545" t="s">
        <v>726</v>
      </c>
      <c r="B364" s="1033"/>
      <c r="C364" s="1033"/>
      <c r="D364" s="1033"/>
      <c r="E364" s="1046"/>
      <c r="F364" s="1033"/>
      <c r="G364" s="989"/>
      <c r="H364" s="989"/>
      <c r="I364" s="989"/>
      <c r="J364" s="989"/>
      <c r="K364" s="989"/>
      <c r="L364" s="989"/>
      <c r="M364" s="989"/>
      <c r="N364" s="1033"/>
      <c r="O364" s="1033"/>
      <c r="P364" s="1033"/>
      <c r="Q364" s="1046"/>
      <c r="R364" s="1047"/>
    </row>
    <row r="365" spans="1:18" ht="15.75" thickBot="1">
      <c r="A365" s="1090"/>
      <c r="B365" s="1090"/>
      <c r="C365" s="1090"/>
      <c r="D365" s="1090"/>
      <c r="E365" s="1091"/>
      <c r="F365" s="1090"/>
      <c r="G365" s="990"/>
      <c r="H365" s="990"/>
      <c r="I365" s="990"/>
      <c r="J365" s="990"/>
      <c r="K365" s="990"/>
      <c r="L365" s="990"/>
      <c r="M365" s="990"/>
      <c r="N365" s="1090"/>
      <c r="O365" s="1090"/>
      <c r="P365" s="1090"/>
      <c r="Q365" s="1091"/>
      <c r="R365" s="1047"/>
    </row>
    <row r="366" spans="1:18" ht="15.75" thickTop="1">
      <c r="A366" s="1534"/>
      <c r="B366" s="1534"/>
      <c r="C366" s="1534"/>
      <c r="D366" s="1534"/>
      <c r="E366" s="1210"/>
      <c r="F366" s="1534"/>
      <c r="G366" s="989"/>
      <c r="H366" s="989"/>
      <c r="I366" s="989"/>
      <c r="J366" s="989"/>
      <c r="K366" s="989"/>
      <c r="L366" s="989"/>
      <c r="M366" s="989"/>
      <c r="N366" s="1534"/>
      <c r="O366" s="1534"/>
      <c r="P366" s="1534"/>
      <c r="Q366" s="1210"/>
      <c r="R366" s="1047"/>
    </row>
    <row r="367" spans="1:18" ht="14.25">
      <c r="A367" s="1194" t="s">
        <v>956</v>
      </c>
      <c r="B367" s="1033"/>
      <c r="C367" s="1033"/>
      <c r="D367" s="1033"/>
      <c r="E367" s="1046"/>
      <c r="F367" s="1033"/>
      <c r="G367" s="1194" t="s">
        <v>728</v>
      </c>
      <c r="H367" s="1033"/>
      <c r="I367" s="1033"/>
      <c r="J367" s="1033"/>
      <c r="K367" s="1046"/>
      <c r="L367" s="1033"/>
      <c r="M367" s="1194" t="s">
        <v>952</v>
      </c>
      <c r="N367" s="1033"/>
      <c r="O367" s="1033"/>
      <c r="P367" s="1033"/>
      <c r="Q367" s="1046"/>
      <c r="R367" s="1047"/>
    </row>
    <row r="368" spans="1:18" ht="15">
      <c r="A368" s="991" t="s">
        <v>958</v>
      </c>
      <c r="B368" s="1094"/>
      <c r="C368" s="1094"/>
      <c r="D368" s="3150" t="s">
        <v>959</v>
      </c>
      <c r="E368" s="3150"/>
      <c r="F368" s="1033"/>
      <c r="G368" s="991" t="s">
        <v>731</v>
      </c>
      <c r="H368" s="1094"/>
      <c r="I368" s="1094"/>
      <c r="J368" s="3150" t="s">
        <v>732</v>
      </c>
      <c r="K368" s="3150"/>
      <c r="L368" s="1033"/>
      <c r="M368" s="991" t="s">
        <v>739</v>
      </c>
      <c r="N368" s="1094"/>
      <c r="O368" s="1094"/>
      <c r="P368" s="1034" t="s">
        <v>740</v>
      </c>
      <c r="Q368" s="1034"/>
      <c r="R368" s="1047"/>
    </row>
    <row r="369" spans="1:18" ht="15">
      <c r="A369" s="936" t="s">
        <v>957</v>
      </c>
      <c r="B369" s="1195"/>
      <c r="C369" s="1195"/>
      <c r="D369" s="95">
        <v>1220000</v>
      </c>
      <c r="E369" s="1227">
        <f t="shared" ref="E369:E393" si="28">(D369*100/15328307)</f>
        <v>7.9591307768039874</v>
      </c>
      <c r="F369" s="1033"/>
      <c r="G369" s="936" t="s">
        <v>734</v>
      </c>
      <c r="H369" s="1195"/>
      <c r="I369" s="1195"/>
      <c r="J369" s="95">
        <f>32299256-28096441</f>
        <v>4202815</v>
      </c>
      <c r="K369" s="1227">
        <f t="shared" ref="K369:K393" si="29">(J369*100/32299256)</f>
        <v>13.012110867197684</v>
      </c>
      <c r="L369" s="1033"/>
      <c r="M369" s="936" t="s">
        <v>742</v>
      </c>
      <c r="N369" s="1195"/>
      <c r="O369" s="1195"/>
      <c r="P369" s="95">
        <v>157544</v>
      </c>
      <c r="Q369" s="1227">
        <f t="shared" ref="Q369:Q393" si="30">(P369*100/34259350)</f>
        <v>0.45985694416268841</v>
      </c>
      <c r="R369" s="1047"/>
    </row>
    <row r="370" spans="1:18" ht="15">
      <c r="A370" s="1035" t="s">
        <v>960</v>
      </c>
      <c r="B370" s="1195"/>
      <c r="C370" s="1196"/>
      <c r="D370" s="95">
        <v>14108307</v>
      </c>
      <c r="E370" s="1227">
        <f t="shared" si="28"/>
        <v>92.040869223196012</v>
      </c>
      <c r="F370" s="1033"/>
      <c r="G370" s="1035" t="s">
        <v>736</v>
      </c>
      <c r="H370" s="1195"/>
      <c r="I370" s="1196"/>
      <c r="J370" s="95">
        <v>28096441</v>
      </c>
      <c r="K370" s="1227">
        <f t="shared" si="29"/>
        <v>86.987889132802323</v>
      </c>
      <c r="L370" s="1033"/>
      <c r="M370" s="1035" t="s">
        <v>744</v>
      </c>
      <c r="N370" s="1195"/>
      <c r="O370" s="1197"/>
      <c r="P370" s="95">
        <f>34259350-P369</f>
        <v>34101806</v>
      </c>
      <c r="Q370" s="1227">
        <f t="shared" si="30"/>
        <v>99.540143055837305</v>
      </c>
      <c r="R370" s="1047"/>
    </row>
    <row r="371" spans="1:18" ht="15">
      <c r="A371" s="1283" t="s">
        <v>1819</v>
      </c>
      <c r="B371" s="1053" t="s">
        <v>46</v>
      </c>
      <c r="C371" s="1331">
        <v>1740.14</v>
      </c>
      <c r="D371" s="1587">
        <v>15148312</v>
      </c>
      <c r="E371" s="1227">
        <f t="shared" si="28"/>
        <v>98.825734635925542</v>
      </c>
      <c r="F371" s="1033"/>
      <c r="G371" s="1265" t="s">
        <v>1818</v>
      </c>
      <c r="H371" s="1327"/>
      <c r="I371" s="1331">
        <v>162.1</v>
      </c>
      <c r="J371" s="1036">
        <v>32171161</v>
      </c>
      <c r="K371" s="1227">
        <f t="shared" si="29"/>
        <v>99.603411917599587</v>
      </c>
      <c r="L371" s="1033"/>
      <c r="M371" s="1284" t="s">
        <v>1501</v>
      </c>
      <c r="N371" s="954"/>
      <c r="O371" s="1199">
        <v>47.21</v>
      </c>
      <c r="P371" s="96">
        <v>26097504</v>
      </c>
      <c r="Q371" s="1227">
        <f t="shared" si="30"/>
        <v>76.176296397917653</v>
      </c>
      <c r="R371" s="1047"/>
    </row>
    <row r="372" spans="1:18" ht="15">
      <c r="A372" s="1284" t="s">
        <v>1242</v>
      </c>
      <c r="B372" s="957" t="s">
        <v>46</v>
      </c>
      <c r="C372" s="1273">
        <v>193.67</v>
      </c>
      <c r="D372" s="162">
        <v>15170434</v>
      </c>
      <c r="E372" s="1227">
        <f t="shared" si="28"/>
        <v>98.970055858093133</v>
      </c>
      <c r="F372" s="1033"/>
      <c r="G372" s="1267" t="s">
        <v>1819</v>
      </c>
      <c r="H372" s="1329" t="s">
        <v>46</v>
      </c>
      <c r="I372" s="1273">
        <v>4219.29</v>
      </c>
      <c r="J372" s="162">
        <v>32176010</v>
      </c>
      <c r="K372" s="1227">
        <f t="shared" si="29"/>
        <v>99.618424647304565</v>
      </c>
      <c r="L372" s="1033"/>
      <c r="M372" s="1267" t="s">
        <v>1815</v>
      </c>
      <c r="N372" s="1076"/>
      <c r="O372" s="1101">
        <v>57.09</v>
      </c>
      <c r="P372" s="97">
        <v>31680777</v>
      </c>
      <c r="Q372" s="1227">
        <f t="shared" si="30"/>
        <v>92.473374421873146</v>
      </c>
      <c r="R372" s="1047"/>
    </row>
    <row r="373" spans="1:18" ht="15">
      <c r="A373" s="1280" t="s">
        <v>1815</v>
      </c>
      <c r="B373" s="956"/>
      <c r="C373" s="1201">
        <v>25.55</v>
      </c>
      <c r="D373" s="943">
        <v>15177001</v>
      </c>
      <c r="E373" s="1227">
        <f t="shared" si="28"/>
        <v>99.012898162856473</v>
      </c>
      <c r="F373" s="1033"/>
      <c r="G373" s="1226" t="s">
        <v>1815</v>
      </c>
      <c r="H373" s="1328"/>
      <c r="I373" s="1273">
        <v>53.83</v>
      </c>
      <c r="J373" s="943">
        <v>32176161</v>
      </c>
      <c r="K373" s="1227">
        <f t="shared" si="29"/>
        <v>99.618892150333124</v>
      </c>
      <c r="L373" s="1033"/>
      <c r="M373" s="1582" t="s">
        <v>1242</v>
      </c>
      <c r="N373" s="1078" t="s">
        <v>46</v>
      </c>
      <c r="O373" s="1202">
        <v>436.64</v>
      </c>
      <c r="P373" s="157">
        <v>32006151</v>
      </c>
      <c r="Q373" s="1227">
        <f t="shared" si="30"/>
        <v>93.423112230675713</v>
      </c>
      <c r="R373" s="1047"/>
    </row>
    <row r="374" spans="1:18" ht="15">
      <c r="A374" s="1286" t="s">
        <v>146</v>
      </c>
      <c r="B374" s="957"/>
      <c r="C374" s="1201">
        <v>466.8</v>
      </c>
      <c r="D374" s="162">
        <v>15204323</v>
      </c>
      <c r="E374" s="1227">
        <f t="shared" si="28"/>
        <v>99.191143548990766</v>
      </c>
      <c r="F374" s="1033"/>
      <c r="G374" s="1262" t="s">
        <v>1242</v>
      </c>
      <c r="H374" s="1329" t="s">
        <v>46</v>
      </c>
      <c r="I374" s="1273">
        <v>411.85</v>
      </c>
      <c r="J374" s="162">
        <v>32180631</v>
      </c>
      <c r="K374" s="1227">
        <f t="shared" si="29"/>
        <v>99.632731478396906</v>
      </c>
      <c r="L374" s="1033"/>
      <c r="M374" s="1226" t="s">
        <v>1819</v>
      </c>
      <c r="N374" s="957" t="s">
        <v>46</v>
      </c>
      <c r="O374" s="1101">
        <v>3941.49</v>
      </c>
      <c r="P374" s="97">
        <v>32056293</v>
      </c>
      <c r="Q374" s="1227">
        <f t="shared" si="30"/>
        <v>93.569472275451815</v>
      </c>
      <c r="R374" s="1047"/>
    </row>
    <row r="375" spans="1:18" ht="15">
      <c r="A375" s="1280" t="s">
        <v>1814</v>
      </c>
      <c r="B375" s="957"/>
      <c r="C375" s="1270">
        <v>120.2</v>
      </c>
      <c r="D375" s="944">
        <v>15207033</v>
      </c>
      <c r="E375" s="1229">
        <f t="shared" si="28"/>
        <v>99.208823257519569</v>
      </c>
      <c r="F375" s="1033"/>
      <c r="G375" s="1585" t="s">
        <v>1800</v>
      </c>
      <c r="H375" s="1329"/>
      <c r="I375" s="1273">
        <v>7.57</v>
      </c>
      <c r="J375" s="944">
        <v>32186982</v>
      </c>
      <c r="K375" s="1229">
        <f t="shared" si="29"/>
        <v>99.652394470015039</v>
      </c>
      <c r="L375" s="1033"/>
      <c r="M375" s="1280" t="s">
        <v>146</v>
      </c>
      <c r="N375" s="957"/>
      <c r="O375" s="1106">
        <v>987.4</v>
      </c>
      <c r="P375" s="933">
        <v>32074348</v>
      </c>
      <c r="Q375" s="1229">
        <f t="shared" si="30"/>
        <v>93.622173216946621</v>
      </c>
      <c r="R375" s="1047"/>
    </row>
    <row r="376" spans="1:18" ht="15">
      <c r="A376" s="1280" t="s">
        <v>1818</v>
      </c>
      <c r="B376" s="957"/>
      <c r="C376" s="1270">
        <v>29</v>
      </c>
      <c r="D376" s="979">
        <v>15224691</v>
      </c>
      <c r="E376" s="1227">
        <f t="shared" si="28"/>
        <v>99.324021889697278</v>
      </c>
      <c r="F376" s="1033"/>
      <c r="G376" s="1358" t="s">
        <v>703</v>
      </c>
      <c r="H376" s="1328"/>
      <c r="I376" s="1273">
        <v>44.148000000000003</v>
      </c>
      <c r="J376" s="979">
        <v>32210631</v>
      </c>
      <c r="K376" s="1227">
        <f t="shared" si="29"/>
        <v>99.725612874798102</v>
      </c>
      <c r="L376" s="1033"/>
      <c r="M376" s="1267" t="s">
        <v>1814</v>
      </c>
      <c r="N376" s="957"/>
      <c r="O376" s="1106">
        <v>274.79000000000002</v>
      </c>
      <c r="P376" s="925">
        <v>32102967</v>
      </c>
      <c r="Q376" s="1227">
        <f t="shared" si="30"/>
        <v>93.705709536228795</v>
      </c>
      <c r="R376" s="1047"/>
    </row>
    <row r="377" spans="1:18" ht="15">
      <c r="A377" s="1288" t="s">
        <v>703</v>
      </c>
      <c r="B377" s="968"/>
      <c r="C377" s="1200">
        <v>8.75</v>
      </c>
      <c r="D377" s="162">
        <v>15232176</v>
      </c>
      <c r="E377" s="1227">
        <f t="shared" si="28"/>
        <v>99.37285311417628</v>
      </c>
      <c r="F377" s="1033"/>
      <c r="G377" s="1226" t="s">
        <v>1550</v>
      </c>
      <c r="H377" s="1329"/>
      <c r="I377" s="1273">
        <v>1</v>
      </c>
      <c r="J377" s="162">
        <v>32212785</v>
      </c>
      <c r="K377" s="1227">
        <f t="shared" si="29"/>
        <v>99.732281759059717</v>
      </c>
      <c r="L377" s="1033"/>
      <c r="M377" s="1281" t="s">
        <v>926</v>
      </c>
      <c r="N377" s="969" t="s">
        <v>46</v>
      </c>
      <c r="O377" s="1101">
        <v>16.420999999999999</v>
      </c>
      <c r="P377" s="97">
        <v>32290804</v>
      </c>
      <c r="Q377" s="1227">
        <f t="shared" si="30"/>
        <v>94.253989057001959</v>
      </c>
      <c r="R377" s="1047"/>
    </row>
    <row r="378" spans="1:18" ht="15">
      <c r="A378" s="1292" t="s">
        <v>926</v>
      </c>
      <c r="B378" s="969" t="s">
        <v>46</v>
      </c>
      <c r="C378" s="1204">
        <v>5.68</v>
      </c>
      <c r="D378" s="943">
        <v>15251132</v>
      </c>
      <c r="E378" s="1228">
        <f t="shared" si="28"/>
        <v>99.496519739590283</v>
      </c>
      <c r="F378" s="1033"/>
      <c r="G378" s="1296" t="s">
        <v>1804</v>
      </c>
      <c r="H378" s="1330"/>
      <c r="I378" s="1273">
        <v>1</v>
      </c>
      <c r="J378" s="943">
        <v>32213966</v>
      </c>
      <c r="K378" s="1228">
        <f t="shared" si="29"/>
        <v>99.735938190031376</v>
      </c>
      <c r="L378" s="1033"/>
      <c r="M378" s="1262" t="s">
        <v>1806</v>
      </c>
      <c r="N378" s="963" t="s">
        <v>46</v>
      </c>
      <c r="O378" s="1101">
        <v>34.049999999999997</v>
      </c>
      <c r="P378" s="157">
        <v>32381825</v>
      </c>
      <c r="Q378" s="1228">
        <f t="shared" si="30"/>
        <v>94.519671272222041</v>
      </c>
      <c r="R378" s="1047"/>
    </row>
    <row r="379" spans="1:18" ht="15">
      <c r="A379" s="1280" t="s">
        <v>1808</v>
      </c>
      <c r="B379" s="957" t="s">
        <v>46</v>
      </c>
      <c r="C379" s="1279">
        <v>5.96</v>
      </c>
      <c r="D379" s="162">
        <v>15254228</v>
      </c>
      <c r="E379" s="1227">
        <f t="shared" si="28"/>
        <v>99.516717664905855</v>
      </c>
      <c r="F379" s="1033"/>
      <c r="G379" s="1280" t="s">
        <v>146</v>
      </c>
      <c r="H379" s="1328"/>
      <c r="I379" s="1273">
        <v>1044</v>
      </c>
      <c r="J379" s="162">
        <v>32244697</v>
      </c>
      <c r="K379" s="1227">
        <f t="shared" si="29"/>
        <v>99.831082796458219</v>
      </c>
      <c r="L379" s="1033"/>
      <c r="M379" s="1261" t="s">
        <v>1813</v>
      </c>
      <c r="N379" s="1257"/>
      <c r="O379" s="1101">
        <v>23.425999999999998</v>
      </c>
      <c r="P379" s="97">
        <v>32543280</v>
      </c>
      <c r="Q379" s="1227">
        <f t="shared" si="30"/>
        <v>94.990944078040016</v>
      </c>
      <c r="R379" s="1047"/>
    </row>
    <row r="380" spans="1:18" ht="15">
      <c r="A380" s="1280" t="s">
        <v>1813</v>
      </c>
      <c r="B380" s="1203"/>
      <c r="C380" s="1204">
        <v>6.81</v>
      </c>
      <c r="D380" s="943">
        <v>15260064</v>
      </c>
      <c r="E380" s="1227">
        <f t="shared" si="28"/>
        <v>99.554791015080795</v>
      </c>
      <c r="F380" s="1033"/>
      <c r="G380" s="1267" t="s">
        <v>1808</v>
      </c>
      <c r="H380" s="1329" t="s">
        <v>46</v>
      </c>
      <c r="I380" s="1273">
        <v>20.53</v>
      </c>
      <c r="J380" s="943">
        <v>32245021</v>
      </c>
      <c r="K380" s="1227">
        <f t="shared" si="29"/>
        <v>99.832085915539352</v>
      </c>
      <c r="L380" s="1033"/>
      <c r="M380" s="99" t="s">
        <v>745</v>
      </c>
      <c r="N380" s="966"/>
      <c r="O380" s="1101">
        <v>43.1</v>
      </c>
      <c r="P380" s="97">
        <v>32685459</v>
      </c>
      <c r="Q380" s="1228">
        <f t="shared" si="30"/>
        <v>95.405951951802933</v>
      </c>
      <c r="R380" s="1047"/>
    </row>
    <row r="381" spans="1:18" ht="15">
      <c r="A381" s="1285" t="s">
        <v>917</v>
      </c>
      <c r="B381" s="967"/>
      <c r="C381" s="1200">
        <v>18.04</v>
      </c>
      <c r="D381" s="162">
        <v>15262238</v>
      </c>
      <c r="E381" s="1227">
        <f t="shared" si="28"/>
        <v>99.568973925169942</v>
      </c>
      <c r="F381" s="1033"/>
      <c r="G381" s="1261" t="s">
        <v>1814</v>
      </c>
      <c r="H381" s="1329"/>
      <c r="I381" s="1273">
        <v>266.98</v>
      </c>
      <c r="J381" s="162">
        <v>32247146</v>
      </c>
      <c r="K381" s="1227">
        <f t="shared" si="29"/>
        <v>99.838665014451109</v>
      </c>
      <c r="L381" s="1033"/>
      <c r="M381" s="1284" t="s">
        <v>917</v>
      </c>
      <c r="N381" s="959"/>
      <c r="O381" s="1101">
        <v>44.96</v>
      </c>
      <c r="P381" s="97">
        <v>32751885</v>
      </c>
      <c r="Q381" s="1227">
        <f t="shared" si="30"/>
        <v>95.599843546360333</v>
      </c>
      <c r="R381" s="1047"/>
    </row>
    <row r="382" spans="1:18" ht="15">
      <c r="A382" s="1287" t="s">
        <v>1800</v>
      </c>
      <c r="B382" s="963"/>
      <c r="C382" s="1200">
        <v>3.6</v>
      </c>
      <c r="D382" s="162">
        <v>15286036</v>
      </c>
      <c r="E382" s="1227">
        <f t="shared" si="28"/>
        <v>99.724229166339114</v>
      </c>
      <c r="F382" s="1033"/>
      <c r="G382" s="1278" t="s">
        <v>1813</v>
      </c>
      <c r="H382" s="1136"/>
      <c r="I382" s="1273">
        <v>30.382999999999999</v>
      </c>
      <c r="J382" s="162">
        <v>32257600</v>
      </c>
      <c r="K382" s="1227">
        <f t="shared" si="29"/>
        <v>99.871031085050376</v>
      </c>
      <c r="L382" s="1033"/>
      <c r="M382" s="1001" t="s">
        <v>1566</v>
      </c>
      <c r="N382" s="966"/>
      <c r="O382" s="1101">
        <v>5</v>
      </c>
      <c r="P382" s="97">
        <v>33160936</v>
      </c>
      <c r="Q382" s="1227">
        <f t="shared" si="30"/>
        <v>96.793827086620155</v>
      </c>
      <c r="R382" s="1047"/>
    </row>
    <row r="383" spans="1:18" ht="15">
      <c r="A383" s="1288" t="s">
        <v>1804</v>
      </c>
      <c r="B383" s="971"/>
      <c r="C383" s="1206">
        <v>1</v>
      </c>
      <c r="D383" s="162">
        <v>15295196</v>
      </c>
      <c r="E383" s="1227">
        <f t="shared" si="28"/>
        <v>99.783987885941997</v>
      </c>
      <c r="F383" s="1033"/>
      <c r="G383" s="1308" t="s">
        <v>926</v>
      </c>
      <c r="H383" s="1111" t="s">
        <v>46</v>
      </c>
      <c r="I383" s="1332">
        <v>162.98500000000001</v>
      </c>
      <c r="J383" s="162">
        <v>32259158</v>
      </c>
      <c r="K383" s="1227">
        <f t="shared" si="29"/>
        <v>99.87585472557015</v>
      </c>
      <c r="L383" s="1033"/>
      <c r="M383" s="1226" t="s">
        <v>1809</v>
      </c>
      <c r="N383" s="969" t="s">
        <v>46</v>
      </c>
      <c r="O383" s="1101">
        <v>8.9</v>
      </c>
      <c r="P383" s="97">
        <v>33303416</v>
      </c>
      <c r="Q383" s="1227">
        <f t="shared" si="30"/>
        <v>97.209713552650584</v>
      </c>
      <c r="R383" s="1047"/>
    </row>
    <row r="384" spans="1:18" ht="15">
      <c r="A384" s="1280" t="s">
        <v>1812</v>
      </c>
      <c r="B384" s="963"/>
      <c r="C384" s="1200">
        <v>2</v>
      </c>
      <c r="D384" s="162">
        <v>15306655</v>
      </c>
      <c r="E384" s="1227">
        <f t="shared" si="28"/>
        <v>99.858745000344783</v>
      </c>
      <c r="F384" s="1033"/>
      <c r="G384" s="1266" t="s">
        <v>917</v>
      </c>
      <c r="H384" s="1330"/>
      <c r="I384" s="1273">
        <v>43</v>
      </c>
      <c r="J384" s="162">
        <v>32266047</v>
      </c>
      <c r="K384" s="1227">
        <f t="shared" si="29"/>
        <v>99.89718339023041</v>
      </c>
      <c r="L384" s="1033"/>
      <c r="M384" s="1263" t="s">
        <v>1800</v>
      </c>
      <c r="N384" s="969"/>
      <c r="O384" s="1101">
        <v>10.6</v>
      </c>
      <c r="P384" s="97">
        <v>33335637</v>
      </c>
      <c r="Q384" s="1227">
        <f t="shared" si="30"/>
        <v>97.303763790031041</v>
      </c>
      <c r="R384" s="1047"/>
    </row>
    <row r="385" spans="1:18" ht="15">
      <c r="A385" s="1280" t="s">
        <v>1849</v>
      </c>
      <c r="B385" s="963" t="s">
        <v>46</v>
      </c>
      <c r="C385" s="1206">
        <v>2</v>
      </c>
      <c r="D385" s="141">
        <v>15319278</v>
      </c>
      <c r="E385" s="1227">
        <f t="shared" si="28"/>
        <v>99.941095908373967</v>
      </c>
      <c r="F385" s="1033"/>
      <c r="G385" s="1261" t="s">
        <v>1812</v>
      </c>
      <c r="H385" s="1329"/>
      <c r="I385" s="1332">
        <v>30</v>
      </c>
      <c r="J385" s="141">
        <v>32270358</v>
      </c>
      <c r="K385" s="1227">
        <f t="shared" si="29"/>
        <v>99.910530446893262</v>
      </c>
      <c r="L385" s="1033"/>
      <c r="M385" s="1280" t="s">
        <v>1808</v>
      </c>
      <c r="N385" s="957" t="s">
        <v>46</v>
      </c>
      <c r="O385" s="1101">
        <v>40.24</v>
      </c>
      <c r="P385" s="97">
        <v>33383391</v>
      </c>
      <c r="Q385" s="1227">
        <f t="shared" si="30"/>
        <v>97.443153474890792</v>
      </c>
      <c r="R385" s="1047"/>
    </row>
    <row r="386" spans="1:18" ht="15">
      <c r="A386" s="1280" t="s">
        <v>1809</v>
      </c>
      <c r="B386" s="969" t="s">
        <v>46</v>
      </c>
      <c r="C386" s="1206">
        <v>4.5</v>
      </c>
      <c r="D386" s="162">
        <v>15321345</v>
      </c>
      <c r="E386" s="1227">
        <f t="shared" si="28"/>
        <v>99.954580763550723</v>
      </c>
      <c r="F386" s="1033"/>
      <c r="G386" s="1226" t="s">
        <v>1849</v>
      </c>
      <c r="H386" s="1111" t="s">
        <v>46</v>
      </c>
      <c r="I386" s="1332">
        <v>5</v>
      </c>
      <c r="J386" s="162">
        <v>32284510</v>
      </c>
      <c r="K386" s="1227">
        <f t="shared" si="29"/>
        <v>99.954345697622259</v>
      </c>
      <c r="L386" s="1033"/>
      <c r="M386" s="1261" t="s">
        <v>1818</v>
      </c>
      <c r="N386" s="963"/>
      <c r="O386" s="1207">
        <v>146.80000000000001</v>
      </c>
      <c r="P386" s="141">
        <v>33436955</v>
      </c>
      <c r="Q386" s="1227">
        <f t="shared" si="30"/>
        <v>97.599502033751364</v>
      </c>
      <c r="R386" s="1047"/>
    </row>
    <row r="387" spans="1:18" ht="15">
      <c r="A387" s="1284" t="s">
        <v>1501</v>
      </c>
      <c r="B387" s="969"/>
      <c r="C387" s="1206">
        <v>5.31</v>
      </c>
      <c r="D387" s="162">
        <v>15322158</v>
      </c>
      <c r="E387" s="1227">
        <f t="shared" si="28"/>
        <v>99.959884676109368</v>
      </c>
      <c r="F387" s="1170"/>
      <c r="G387" s="1584" t="s">
        <v>1566</v>
      </c>
      <c r="H387" s="1329"/>
      <c r="I387" s="1332">
        <v>1.125</v>
      </c>
      <c r="J387" s="162">
        <v>32294386</v>
      </c>
      <c r="K387" s="1227">
        <f t="shared" si="29"/>
        <v>99.984922253317535</v>
      </c>
      <c r="L387" s="1170"/>
      <c r="M387" s="1261" t="s">
        <v>1550</v>
      </c>
      <c r="N387" s="971"/>
      <c r="O387" s="1101">
        <v>7</v>
      </c>
      <c r="P387" s="97">
        <v>33470158</v>
      </c>
      <c r="Q387" s="1227">
        <f t="shared" si="30"/>
        <v>97.696418641918186</v>
      </c>
      <c r="R387" s="1047"/>
    </row>
    <row r="388" spans="1:18" ht="15">
      <c r="A388" s="1288" t="s">
        <v>746</v>
      </c>
      <c r="B388" s="957"/>
      <c r="C388" s="1208"/>
      <c r="D388" s="162">
        <v>15328307</v>
      </c>
      <c r="E388" s="1227">
        <f t="shared" si="28"/>
        <v>100</v>
      </c>
      <c r="F388" s="1033"/>
      <c r="G388" s="1583" t="s">
        <v>1816</v>
      </c>
      <c r="H388" s="957" t="s">
        <v>46</v>
      </c>
      <c r="I388" s="1208">
        <v>1</v>
      </c>
      <c r="J388" s="940">
        <v>32294634</v>
      </c>
      <c r="K388" s="1227">
        <f t="shared" si="29"/>
        <v>99.985690072861118</v>
      </c>
      <c r="L388" s="1033"/>
      <c r="M388" s="1261" t="s">
        <v>1849</v>
      </c>
      <c r="N388" s="963" t="s">
        <v>46</v>
      </c>
      <c r="O388" s="1061">
        <v>5</v>
      </c>
      <c r="P388" s="162">
        <v>33474307</v>
      </c>
      <c r="Q388" s="1227">
        <f t="shared" si="30"/>
        <v>97.708529204436161</v>
      </c>
      <c r="R388" s="1047"/>
    </row>
    <row r="389" spans="1:18" ht="15">
      <c r="A389" s="1280" t="s">
        <v>1550</v>
      </c>
      <c r="B389" s="963"/>
      <c r="C389" s="1206">
        <v>4</v>
      </c>
      <c r="D389" s="141">
        <v>15328455</v>
      </c>
      <c r="E389" s="1227">
        <f t="shared" si="28"/>
        <v>100.00096553389751</v>
      </c>
      <c r="F389" s="1170"/>
      <c r="G389" s="99" t="s">
        <v>746</v>
      </c>
      <c r="H389" s="963"/>
      <c r="I389" s="1206"/>
      <c r="J389" s="141">
        <v>32299256</v>
      </c>
      <c r="K389" s="1255">
        <f t="shared" si="29"/>
        <v>100</v>
      </c>
      <c r="L389" s="1170"/>
      <c r="M389" s="1261" t="s">
        <v>1812</v>
      </c>
      <c r="N389" s="963"/>
      <c r="O389" s="1101">
        <v>57</v>
      </c>
      <c r="P389" s="97">
        <v>33582149</v>
      </c>
      <c r="Q389" s="1227">
        <f t="shared" si="30"/>
        <v>98.023310424745361</v>
      </c>
      <c r="R389" s="1047"/>
    </row>
    <row r="390" spans="1:18" ht="15">
      <c r="A390" s="1280" t="s">
        <v>1817</v>
      </c>
      <c r="B390" s="1209"/>
      <c r="C390" s="1206">
        <v>9</v>
      </c>
      <c r="D390" s="162">
        <v>15335755</v>
      </c>
      <c r="E390" s="1227">
        <f t="shared" si="28"/>
        <v>100.04858984100461</v>
      </c>
      <c r="F390" s="1033"/>
      <c r="G390" s="1360" t="s">
        <v>1806</v>
      </c>
      <c r="H390" s="969" t="s">
        <v>46</v>
      </c>
      <c r="I390" s="1206">
        <v>1.45</v>
      </c>
      <c r="J390" s="162">
        <v>32315792</v>
      </c>
      <c r="K390" s="1227">
        <f t="shared" si="29"/>
        <v>100.05119622569634</v>
      </c>
      <c r="L390" s="1033"/>
      <c r="M390" s="1269" t="s">
        <v>1816</v>
      </c>
      <c r="N390" s="964" t="s">
        <v>46</v>
      </c>
      <c r="O390" s="1101">
        <v>2</v>
      </c>
      <c r="P390" s="97">
        <v>33610980</v>
      </c>
      <c r="Q390" s="1227">
        <f t="shared" si="30"/>
        <v>98.107465553199347</v>
      </c>
      <c r="R390" s="1047"/>
    </row>
    <row r="391" spans="1:18" ht="15">
      <c r="A391" s="1284" t="s">
        <v>1806</v>
      </c>
      <c r="B391" s="963" t="s">
        <v>46</v>
      </c>
      <c r="C391" s="1206">
        <v>1.0900000000000001</v>
      </c>
      <c r="D391" s="162">
        <v>15336968</v>
      </c>
      <c r="E391" s="1227">
        <f t="shared" si="28"/>
        <v>100.05650330463762</v>
      </c>
      <c r="F391" s="1033"/>
      <c r="G391" s="1280" t="s">
        <v>1809</v>
      </c>
      <c r="H391" s="963" t="s">
        <v>46</v>
      </c>
      <c r="I391" s="1206">
        <v>9.57</v>
      </c>
      <c r="J391" s="162">
        <v>32332091</v>
      </c>
      <c r="K391" s="1227">
        <f t="shared" si="29"/>
        <v>100.10165868836111</v>
      </c>
      <c r="L391" s="1033"/>
      <c r="M391" s="1226" t="s">
        <v>1817</v>
      </c>
      <c r="N391" s="961"/>
      <c r="O391" s="1101">
        <v>35</v>
      </c>
      <c r="P391" s="97">
        <v>33659646</v>
      </c>
      <c r="Q391" s="1227">
        <f t="shared" si="30"/>
        <v>98.249517285062325</v>
      </c>
      <c r="R391" s="1047"/>
    </row>
    <row r="392" spans="1:18" ht="15">
      <c r="A392" s="1306" t="s">
        <v>1566</v>
      </c>
      <c r="B392" s="963"/>
      <c r="C392" s="1206">
        <v>19</v>
      </c>
      <c r="D392" s="162">
        <v>15416174</v>
      </c>
      <c r="E392" s="1227">
        <f t="shared" si="28"/>
        <v>100.5732335606274</v>
      </c>
      <c r="F392" s="1033"/>
      <c r="G392" s="1262" t="s">
        <v>1501</v>
      </c>
      <c r="H392" s="963"/>
      <c r="I392" s="1206">
        <v>11.984999999999999</v>
      </c>
      <c r="J392" s="162">
        <v>32334509</v>
      </c>
      <c r="K392" s="1227">
        <f t="shared" si="29"/>
        <v>100.10914492891105</v>
      </c>
      <c r="L392" s="1033"/>
      <c r="M392" s="950" t="s">
        <v>1804</v>
      </c>
      <c r="N392" s="961"/>
      <c r="O392" s="1101">
        <v>1</v>
      </c>
      <c r="P392" s="97">
        <v>33791961</v>
      </c>
      <c r="Q392" s="1227">
        <f t="shared" si="30"/>
        <v>98.635733018869303</v>
      </c>
      <c r="R392" s="1047"/>
    </row>
    <row r="393" spans="1:18" ht="15">
      <c r="A393" s="1291" t="s">
        <v>1816</v>
      </c>
      <c r="B393" s="964" t="s">
        <v>46</v>
      </c>
      <c r="C393" s="1206">
        <v>3</v>
      </c>
      <c r="D393" s="940">
        <v>15418344</v>
      </c>
      <c r="E393" s="1227">
        <f t="shared" si="28"/>
        <v>100.58739037520581</v>
      </c>
      <c r="F393" s="1033"/>
      <c r="G393" s="1222" t="s">
        <v>1817</v>
      </c>
      <c r="H393" s="1586"/>
      <c r="I393" s="1273">
        <v>43</v>
      </c>
      <c r="J393" s="162">
        <v>32348115</v>
      </c>
      <c r="K393" s="1227">
        <f t="shared" si="29"/>
        <v>100.15126973822555</v>
      </c>
      <c r="L393" s="1033"/>
      <c r="M393" s="998" t="s">
        <v>746</v>
      </c>
      <c r="N393" s="967"/>
      <c r="O393" s="1101"/>
      <c r="P393" s="97">
        <v>34259350</v>
      </c>
      <c r="Q393" s="1227">
        <f t="shared" si="30"/>
        <v>100</v>
      </c>
      <c r="R393" s="1047"/>
    </row>
    <row r="394" spans="1:18" ht="15">
      <c r="A394" s="1313" t="s">
        <v>860</v>
      </c>
      <c r="B394" s="969"/>
      <c r="C394" s="1200"/>
      <c r="D394" s="986" t="s">
        <v>694</v>
      </c>
      <c r="E394" s="1055"/>
      <c r="F394" s="1033"/>
      <c r="G394" s="1037" t="s">
        <v>860</v>
      </c>
      <c r="H394" s="969"/>
      <c r="I394" s="1200"/>
      <c r="J394" s="986" t="s">
        <v>694</v>
      </c>
      <c r="K394" s="1055"/>
      <c r="L394" s="1033"/>
      <c r="M394" s="98" t="s">
        <v>860</v>
      </c>
      <c r="N394" s="969"/>
      <c r="O394" s="1101"/>
      <c r="P394" s="1038" t="s">
        <v>694</v>
      </c>
      <c r="Q394" s="1055"/>
      <c r="R394" s="1047"/>
    </row>
    <row r="395" spans="1:18" ht="15">
      <c r="A395" s="1033"/>
      <c r="B395" s="1033"/>
      <c r="C395" s="1033"/>
      <c r="D395" s="1033"/>
      <c r="E395" s="1046"/>
      <c r="F395" s="1033"/>
      <c r="G395" s="56"/>
      <c r="H395" s="56"/>
      <c r="I395" s="56"/>
      <c r="J395" s="1088"/>
      <c r="K395" s="1086"/>
      <c r="L395" s="1033"/>
      <c r="M395" s="1033"/>
      <c r="N395" s="1033"/>
      <c r="O395" s="1033"/>
      <c r="P395" s="1033"/>
      <c r="Q395" s="1046"/>
      <c r="R395" s="1047"/>
    </row>
    <row r="396" spans="1:18" ht="15">
      <c r="A396" s="1033"/>
      <c r="B396" s="1033"/>
      <c r="C396" s="1033"/>
      <c r="D396" s="1033"/>
      <c r="E396" s="1046"/>
      <c r="F396" s="1033"/>
      <c r="G396" s="56"/>
      <c r="H396" s="56"/>
      <c r="I396" s="56"/>
      <c r="J396" s="1088"/>
      <c r="K396" s="1086"/>
      <c r="L396" s="1033"/>
      <c r="M396" s="1033"/>
      <c r="N396" s="1033"/>
      <c r="O396" s="1033"/>
      <c r="P396" s="1033"/>
      <c r="Q396" s="1046"/>
      <c r="R396" s="1047"/>
    </row>
    <row r="397" spans="1:18" ht="14.25">
      <c r="A397" s="1194" t="s">
        <v>737</v>
      </c>
      <c r="B397" s="1033"/>
      <c r="C397" s="1033"/>
      <c r="D397" s="1033"/>
      <c r="E397" s="1046"/>
      <c r="F397" s="1033"/>
      <c r="G397" s="1194" t="s">
        <v>727</v>
      </c>
      <c r="H397" s="1033"/>
      <c r="I397" s="1033"/>
      <c r="J397" s="1033"/>
      <c r="K397" s="1046"/>
      <c r="L397" s="1033"/>
      <c r="M397" s="1123"/>
      <c r="N397" s="603"/>
      <c r="O397" s="603"/>
      <c r="P397" s="603"/>
      <c r="Q397" s="1210"/>
      <c r="R397" s="1047"/>
    </row>
    <row r="398" spans="1:18" ht="15">
      <c r="A398" s="991" t="s">
        <v>738</v>
      </c>
      <c r="B398" s="1094"/>
      <c r="C398" s="1094"/>
      <c r="D398" s="3150" t="s">
        <v>730</v>
      </c>
      <c r="E398" s="3150"/>
      <c r="F398" s="1033"/>
      <c r="G398" s="974" t="s">
        <v>729</v>
      </c>
      <c r="H398" s="1211"/>
      <c r="I398" s="1211"/>
      <c r="J398" s="3151" t="s">
        <v>730</v>
      </c>
      <c r="K398" s="3151"/>
      <c r="L398" s="1033"/>
      <c r="M398" s="588"/>
      <c r="N398" s="588"/>
      <c r="O398" s="588"/>
      <c r="P398" s="3152"/>
      <c r="Q398" s="3152"/>
      <c r="R398" s="1047"/>
    </row>
    <row r="399" spans="1:18" ht="15">
      <c r="A399" s="936" t="s">
        <v>741</v>
      </c>
      <c r="B399" s="1195"/>
      <c r="C399" s="1195"/>
      <c r="D399" s="95">
        <v>1652570</v>
      </c>
      <c r="E399" s="1227">
        <f t="shared" ref="E399:E423" si="31">(D399*100/166745987)</f>
        <v>0.99107032782743976</v>
      </c>
      <c r="F399" s="1033"/>
      <c r="G399" s="936" t="s">
        <v>733</v>
      </c>
      <c r="H399" s="1195"/>
      <c r="I399" s="1195"/>
      <c r="J399" s="935">
        <v>4133376</v>
      </c>
      <c r="K399" s="1258">
        <f t="shared" ref="K399:K424" si="32">(J399*100/117465972)</f>
        <v>3.5187858488924775</v>
      </c>
      <c r="L399" s="1033"/>
      <c r="M399" s="588"/>
      <c r="N399" s="588"/>
      <c r="O399" s="588"/>
      <c r="P399" s="591"/>
      <c r="Q399" s="1086"/>
      <c r="R399" s="1047"/>
    </row>
    <row r="400" spans="1:18" ht="15">
      <c r="A400" s="1035" t="s">
        <v>743</v>
      </c>
      <c r="B400" s="1195"/>
      <c r="C400" s="1197"/>
      <c r="D400" s="95">
        <f>166745987-1652570</f>
        <v>165093417</v>
      </c>
      <c r="E400" s="1227">
        <f t="shared" si="31"/>
        <v>99.008929672172556</v>
      </c>
      <c r="F400" s="1033"/>
      <c r="G400" s="1035" t="s">
        <v>735</v>
      </c>
      <c r="H400" s="1195"/>
      <c r="I400" s="1195"/>
      <c r="J400" s="95">
        <f>117465972-4133376</f>
        <v>113332596</v>
      </c>
      <c r="K400" s="1258">
        <f t="shared" si="32"/>
        <v>96.481214151107523</v>
      </c>
      <c r="L400" s="1033"/>
      <c r="M400" s="588"/>
      <c r="N400" s="588"/>
      <c r="O400" s="588"/>
      <c r="P400" s="591"/>
      <c r="Q400" s="1086"/>
      <c r="R400" s="1047"/>
    </row>
    <row r="401" spans="1:18" ht="15">
      <c r="A401" s="1283" t="s">
        <v>1815</v>
      </c>
      <c r="B401" s="1212"/>
      <c r="C401" s="1199">
        <v>274.07</v>
      </c>
      <c r="D401" s="96">
        <v>162743521</v>
      </c>
      <c r="E401" s="1227">
        <f t="shared" si="31"/>
        <v>97.599662773293602</v>
      </c>
      <c r="F401" s="1033"/>
      <c r="G401" s="938" t="s">
        <v>860</v>
      </c>
      <c r="H401" s="1213"/>
      <c r="I401" s="1198">
        <v>568.67999999999995</v>
      </c>
      <c r="J401" s="939">
        <v>76876944</v>
      </c>
      <c r="K401" s="1258">
        <f t="shared" si="32"/>
        <v>65.446139585002541</v>
      </c>
      <c r="L401" s="1033"/>
      <c r="M401" s="593"/>
      <c r="N401" s="603"/>
      <c r="O401" s="1147"/>
      <c r="P401" s="608"/>
      <c r="Q401" s="1086"/>
      <c r="R401" s="1047"/>
    </row>
    <row r="402" spans="1:18" ht="15">
      <c r="A402" s="1280" t="s">
        <v>1819</v>
      </c>
      <c r="B402" s="1078" t="s">
        <v>46</v>
      </c>
      <c r="C402" s="1101">
        <v>21583.72</v>
      </c>
      <c r="D402" s="97">
        <v>163884790</v>
      </c>
      <c r="E402" s="1227">
        <f t="shared" si="31"/>
        <v>98.284098435304472</v>
      </c>
      <c r="F402" s="1033"/>
      <c r="G402" s="1222" t="s">
        <v>1819</v>
      </c>
      <c r="H402" s="1078" t="s">
        <v>46</v>
      </c>
      <c r="I402" s="1580">
        <v>15556.48</v>
      </c>
      <c r="J402" s="1581">
        <v>95674938</v>
      </c>
      <c r="K402" s="1258">
        <f t="shared" si="32"/>
        <v>81.449066798681073</v>
      </c>
      <c r="L402" s="1033"/>
      <c r="M402" s="593"/>
      <c r="N402" s="593"/>
      <c r="O402" s="1147"/>
      <c r="P402" s="55"/>
      <c r="Q402" s="1086"/>
      <c r="R402" s="1047"/>
    </row>
    <row r="403" spans="1:18" ht="15">
      <c r="A403" s="1284" t="s">
        <v>1242</v>
      </c>
      <c r="B403" s="957" t="s">
        <v>46</v>
      </c>
      <c r="C403" s="1101">
        <v>2132.36</v>
      </c>
      <c r="D403" s="157">
        <v>163550830</v>
      </c>
      <c r="E403" s="1227">
        <f t="shared" si="31"/>
        <v>98.083817753287221</v>
      </c>
      <c r="F403" s="1033"/>
      <c r="G403" s="1267" t="s">
        <v>1815</v>
      </c>
      <c r="H403" s="968"/>
      <c r="I403" s="1200">
        <v>201.51</v>
      </c>
      <c r="J403" s="162">
        <v>95825775</v>
      </c>
      <c r="K403" s="1258">
        <f t="shared" si="32"/>
        <v>81.577475900850672</v>
      </c>
      <c r="L403" s="1033"/>
      <c r="M403" s="56"/>
      <c r="N403" s="603"/>
      <c r="O403" s="1147"/>
      <c r="P403" s="55"/>
      <c r="Q403" s="1086"/>
      <c r="R403" s="1047"/>
    </row>
    <row r="404" spans="1:18" ht="15">
      <c r="A404" s="1286" t="s">
        <v>146</v>
      </c>
      <c r="B404" s="956"/>
      <c r="C404" s="1101">
        <v>4503</v>
      </c>
      <c r="D404" s="157">
        <v>164353859</v>
      </c>
      <c r="E404" s="1227">
        <f t="shared" si="31"/>
        <v>98.565405954867146</v>
      </c>
      <c r="F404" s="1033"/>
      <c r="G404" s="1262" t="s">
        <v>1242</v>
      </c>
      <c r="H404" s="957" t="s">
        <v>46</v>
      </c>
      <c r="I404" s="1201">
        <v>1490.77</v>
      </c>
      <c r="J404" s="943">
        <v>96623612</v>
      </c>
      <c r="K404" s="1258">
        <f t="shared" si="32"/>
        <v>82.256682811938077</v>
      </c>
      <c r="L404" s="1033"/>
      <c r="M404" s="593"/>
      <c r="N404" s="1077"/>
      <c r="O404" s="1147"/>
      <c r="P404" s="596"/>
      <c r="Q404" s="1086"/>
      <c r="R404" s="1047"/>
    </row>
    <row r="405" spans="1:18" ht="15">
      <c r="A405" s="1287" t="s">
        <v>1800</v>
      </c>
      <c r="B405" s="957"/>
      <c r="C405" s="1106">
        <v>89.8</v>
      </c>
      <c r="D405" s="933">
        <v>164601097</v>
      </c>
      <c r="E405" s="1229">
        <f t="shared" si="31"/>
        <v>98.713678188849002</v>
      </c>
      <c r="F405" s="1033"/>
      <c r="G405" s="1280" t="s">
        <v>146</v>
      </c>
      <c r="H405" s="956"/>
      <c r="I405" s="1214">
        <v>2387.14</v>
      </c>
      <c r="J405" s="944">
        <v>98307050</v>
      </c>
      <c r="K405" s="1258">
        <f t="shared" si="32"/>
        <v>83.689811037361522</v>
      </c>
      <c r="L405" s="1033"/>
      <c r="M405" s="593"/>
      <c r="N405" s="1077"/>
      <c r="O405" s="1147"/>
      <c r="P405" s="596"/>
      <c r="Q405" s="1086"/>
      <c r="R405" s="1047"/>
    </row>
    <row r="406" spans="1:18" ht="15">
      <c r="A406" s="1280" t="s">
        <v>1814</v>
      </c>
      <c r="B406" s="1072"/>
      <c r="C406" s="1101">
        <v>1595.96</v>
      </c>
      <c r="D406" s="157">
        <v>164722995</v>
      </c>
      <c r="E406" s="1227">
        <f t="shared" si="31"/>
        <v>98.786782197043223</v>
      </c>
      <c r="F406" s="1033"/>
      <c r="G406" s="1263" t="s">
        <v>1800</v>
      </c>
      <c r="H406" s="1072"/>
      <c r="I406" s="1201">
        <v>115.6</v>
      </c>
      <c r="J406" s="945">
        <v>98332287</v>
      </c>
      <c r="K406" s="1258">
        <f t="shared" si="32"/>
        <v>83.711295557150791</v>
      </c>
      <c r="L406" s="1033"/>
      <c r="M406" s="593"/>
      <c r="N406" s="1077"/>
      <c r="O406" s="1147"/>
      <c r="P406" s="55"/>
      <c r="Q406" s="1086"/>
      <c r="R406" s="1047"/>
    </row>
    <row r="407" spans="1:18" ht="15">
      <c r="A407" s="1292" t="s">
        <v>926</v>
      </c>
      <c r="B407" s="969" t="s">
        <v>46</v>
      </c>
      <c r="C407" s="1106">
        <v>101.88</v>
      </c>
      <c r="D407" s="925">
        <v>164872502</v>
      </c>
      <c r="E407" s="1227">
        <f t="shared" si="31"/>
        <v>98.876443725149443</v>
      </c>
      <c r="F407" s="1033"/>
      <c r="G407" s="1267" t="s">
        <v>1814</v>
      </c>
      <c r="H407" s="957"/>
      <c r="I407" s="1215">
        <v>819.71</v>
      </c>
      <c r="J407" s="941">
        <v>98682040</v>
      </c>
      <c r="K407" s="1258">
        <f t="shared" si="32"/>
        <v>84.009043912734143</v>
      </c>
      <c r="L407" s="1033"/>
      <c r="M407" s="593"/>
      <c r="N407" s="1077"/>
      <c r="O407" s="1147"/>
      <c r="P407" s="55"/>
      <c r="Q407" s="1086"/>
      <c r="R407" s="1047"/>
    </row>
    <row r="408" spans="1:18" ht="15">
      <c r="A408" s="1285" t="s">
        <v>917</v>
      </c>
      <c r="B408" s="1066"/>
      <c r="C408" s="1101">
        <v>227</v>
      </c>
      <c r="D408" s="97">
        <v>164932610</v>
      </c>
      <c r="E408" s="1227">
        <f t="shared" si="31"/>
        <v>98.912491369282549</v>
      </c>
      <c r="F408" s="1033"/>
      <c r="G408" s="1262" t="s">
        <v>1806</v>
      </c>
      <c r="H408" s="963" t="s">
        <v>46</v>
      </c>
      <c r="I408" s="1201">
        <v>127.91</v>
      </c>
      <c r="J408" s="162">
        <v>99369061</v>
      </c>
      <c r="K408" s="1258">
        <f t="shared" si="32"/>
        <v>84.593912013940511</v>
      </c>
      <c r="L408" s="1033"/>
      <c r="M408" s="593"/>
      <c r="N408" s="1077"/>
      <c r="O408" s="1147"/>
      <c r="P408" s="596"/>
      <c r="Q408" s="1086"/>
      <c r="R408" s="1047"/>
    </row>
    <row r="409" spans="1:18" ht="15">
      <c r="A409" s="1280" t="s">
        <v>1813</v>
      </c>
      <c r="B409" s="968"/>
      <c r="C409" s="1101">
        <v>160.34800000000001</v>
      </c>
      <c r="D409" s="97">
        <v>164934832</v>
      </c>
      <c r="E409" s="1227">
        <f t="shared" si="31"/>
        <v>98.913823935085162</v>
      </c>
      <c r="F409" s="1033"/>
      <c r="G409" s="1281" t="s">
        <v>926</v>
      </c>
      <c r="H409" s="969" t="s">
        <v>46</v>
      </c>
      <c r="I409" s="1204">
        <v>107.828</v>
      </c>
      <c r="J409" s="943">
        <v>100473896</v>
      </c>
      <c r="K409" s="1258">
        <f t="shared" si="32"/>
        <v>85.534469505773131</v>
      </c>
      <c r="L409" s="1033"/>
      <c r="M409" s="593"/>
      <c r="N409" s="603"/>
      <c r="O409" s="1147"/>
      <c r="P409" s="55"/>
      <c r="Q409" s="1086"/>
      <c r="R409" s="1047"/>
    </row>
    <row r="410" spans="1:18" ht="15">
      <c r="A410" s="1296" t="s">
        <v>745</v>
      </c>
      <c r="B410" s="956"/>
      <c r="C410" s="1101">
        <v>227.6</v>
      </c>
      <c r="D410" s="97">
        <v>165072013</v>
      </c>
      <c r="E410" s="1228">
        <f t="shared" si="31"/>
        <v>98.996093381245814</v>
      </c>
      <c r="F410" s="1033"/>
      <c r="G410" s="99" t="s">
        <v>703</v>
      </c>
      <c r="H410" s="968"/>
      <c r="I410" s="1200">
        <v>165.57900000000001</v>
      </c>
      <c r="J410" s="162">
        <v>100960622</v>
      </c>
      <c r="K410" s="1258">
        <f t="shared" si="32"/>
        <v>85.948824396566522</v>
      </c>
      <c r="L410" s="1033"/>
      <c r="M410" s="593"/>
      <c r="N410" s="603"/>
      <c r="O410" s="1147"/>
      <c r="P410" s="55"/>
      <c r="Q410" s="1086"/>
      <c r="R410" s="1047"/>
    </row>
    <row r="411" spans="1:18" ht="15">
      <c r="A411" s="1284" t="s">
        <v>1806</v>
      </c>
      <c r="B411" s="963" t="s">
        <v>46</v>
      </c>
      <c r="C411" s="1101">
        <v>70.569999999999993</v>
      </c>
      <c r="D411" s="97">
        <v>165366941</v>
      </c>
      <c r="E411" s="1227">
        <f t="shared" si="31"/>
        <v>99.172966003673594</v>
      </c>
      <c r="F411" s="1033"/>
      <c r="G411" s="1001" t="s">
        <v>1566</v>
      </c>
      <c r="H411" s="969"/>
      <c r="I411" s="1206">
        <v>55.24</v>
      </c>
      <c r="J411" s="97">
        <v>101224982</v>
      </c>
      <c r="K411" s="1259">
        <f t="shared" si="32"/>
        <v>86.17387680578679</v>
      </c>
      <c r="L411" s="1033"/>
      <c r="M411" s="593"/>
      <c r="N411" s="1077"/>
      <c r="O411" s="1147"/>
      <c r="P411" s="55"/>
      <c r="Q411" s="1086"/>
      <c r="R411" s="1047"/>
    </row>
    <row r="412" spans="1:18" ht="15">
      <c r="A412" s="1280" t="s">
        <v>1818</v>
      </c>
      <c r="B412" s="963"/>
      <c r="C412" s="1101">
        <v>893</v>
      </c>
      <c r="D412" s="97">
        <v>165788589</v>
      </c>
      <c r="E412" s="1227">
        <f t="shared" si="31"/>
        <v>99.425834458013071</v>
      </c>
      <c r="F412" s="1033"/>
      <c r="G412" s="1284" t="s">
        <v>917</v>
      </c>
      <c r="H412" s="968"/>
      <c r="I412" s="1200">
        <v>159.1</v>
      </c>
      <c r="J412" s="162">
        <v>102969333</v>
      </c>
      <c r="K412" s="1258">
        <f t="shared" si="32"/>
        <v>87.658860899733583</v>
      </c>
      <c r="L412" s="1033"/>
      <c r="M412" s="56"/>
      <c r="N412" s="603"/>
      <c r="O412" s="1147"/>
      <c r="P412" s="55"/>
      <c r="Q412" s="1086"/>
      <c r="R412" s="1047"/>
    </row>
    <row r="413" spans="1:18" ht="15">
      <c r="A413" s="1280" t="s">
        <v>1808</v>
      </c>
      <c r="B413" s="957" t="s">
        <v>46</v>
      </c>
      <c r="C413" s="1101">
        <v>140.68</v>
      </c>
      <c r="D413" s="97">
        <v>165969520</v>
      </c>
      <c r="E413" s="1227">
        <f t="shared" si="31"/>
        <v>99.534341417164057</v>
      </c>
      <c r="F413" s="1033"/>
      <c r="G413" s="1261" t="s">
        <v>1813</v>
      </c>
      <c r="H413" s="966"/>
      <c r="I413" s="1206">
        <v>101.86199999999999</v>
      </c>
      <c r="J413" s="940">
        <v>103498464</v>
      </c>
      <c r="K413" s="1258">
        <f t="shared" si="32"/>
        <v>88.109315606735876</v>
      </c>
      <c r="L413" s="1033"/>
      <c r="M413" s="56"/>
      <c r="N413" s="1077"/>
      <c r="O413" s="1147"/>
      <c r="P413" s="55"/>
      <c r="Q413" s="1086"/>
      <c r="R413" s="1047"/>
    </row>
    <row r="414" spans="1:18" ht="15">
      <c r="A414" s="1280" t="s">
        <v>1849</v>
      </c>
      <c r="B414" s="969" t="s">
        <v>46</v>
      </c>
      <c r="C414" s="1061">
        <v>39</v>
      </c>
      <c r="D414" s="947">
        <v>166049798</v>
      </c>
      <c r="E414" s="1227">
        <f t="shared" si="31"/>
        <v>99.582485304428943</v>
      </c>
      <c r="F414" s="1033"/>
      <c r="G414" s="1261" t="s">
        <v>1818</v>
      </c>
      <c r="H414" s="969"/>
      <c r="I414" s="1206">
        <v>605.1</v>
      </c>
      <c r="J414" s="940">
        <v>104739663</v>
      </c>
      <c r="K414" s="1258">
        <f t="shared" si="32"/>
        <v>89.165961185763649</v>
      </c>
      <c r="L414" s="1033"/>
      <c r="M414" s="593"/>
      <c r="N414" s="603"/>
      <c r="O414" s="1147"/>
      <c r="P414" s="55"/>
      <c r="Q414" s="1086"/>
      <c r="R414" s="1047"/>
    </row>
    <row r="415" spans="1:18" ht="15">
      <c r="A415" s="1288" t="s">
        <v>1804</v>
      </c>
      <c r="B415" s="966"/>
      <c r="C415" s="1101">
        <v>4</v>
      </c>
      <c r="D415" s="97">
        <v>166112292</v>
      </c>
      <c r="E415" s="1227">
        <f t="shared" si="31"/>
        <v>99.619963867556223</v>
      </c>
      <c r="F415" s="1033"/>
      <c r="G415" s="1261" t="s">
        <v>1849</v>
      </c>
      <c r="H415" s="963" t="s">
        <v>46</v>
      </c>
      <c r="I415" s="1200">
        <v>31</v>
      </c>
      <c r="J415" s="940">
        <v>105455434</v>
      </c>
      <c r="K415" s="1258">
        <f t="shared" si="32"/>
        <v>89.775304460086531</v>
      </c>
      <c r="L415" s="1033"/>
      <c r="M415" s="56"/>
      <c r="N415" s="603"/>
      <c r="O415" s="1147"/>
      <c r="P415" s="596"/>
      <c r="Q415" s="1086"/>
      <c r="R415" s="1047"/>
    </row>
    <row r="416" spans="1:18" ht="15">
      <c r="A416" s="1280" t="s">
        <v>1812</v>
      </c>
      <c r="B416" s="969"/>
      <c r="C416" s="1101">
        <v>378</v>
      </c>
      <c r="D416" s="97">
        <v>166267182</v>
      </c>
      <c r="E416" s="1227">
        <f t="shared" si="31"/>
        <v>99.712853659260773</v>
      </c>
      <c r="F416" s="1033"/>
      <c r="G416" s="1280" t="s">
        <v>1808</v>
      </c>
      <c r="H416" s="957" t="s">
        <v>46</v>
      </c>
      <c r="I416" s="1279">
        <v>111.1</v>
      </c>
      <c r="J416" s="940">
        <v>105519854</v>
      </c>
      <c r="K416" s="1258">
        <f t="shared" si="32"/>
        <v>89.830145874074915</v>
      </c>
      <c r="L416" s="1033"/>
      <c r="M416" s="1013"/>
      <c r="N416" s="1077"/>
      <c r="O416" s="1147"/>
      <c r="P416" s="596"/>
      <c r="Q416" s="1086"/>
      <c r="R416" s="1047"/>
    </row>
    <row r="417" spans="1:18" ht="15">
      <c r="A417" s="1291" t="s">
        <v>1816</v>
      </c>
      <c r="B417" s="964" t="s">
        <v>46</v>
      </c>
      <c r="C417" s="1101">
        <v>4</v>
      </c>
      <c r="D417" s="97">
        <v>166391182</v>
      </c>
      <c r="E417" s="1227">
        <f t="shared" si="31"/>
        <v>99.787218267507697</v>
      </c>
      <c r="F417" s="1033"/>
      <c r="G417" s="1261" t="s">
        <v>1550</v>
      </c>
      <c r="H417" s="963"/>
      <c r="I417" s="1200">
        <v>24</v>
      </c>
      <c r="J417" s="162">
        <v>105779473</v>
      </c>
      <c r="K417" s="1258">
        <f t="shared" si="32"/>
        <v>90.05116222083447</v>
      </c>
      <c r="L417" s="1033"/>
      <c r="M417" s="593"/>
      <c r="N417" s="1077"/>
      <c r="O417" s="1147"/>
      <c r="P417" s="596"/>
      <c r="Q417" s="1086"/>
      <c r="R417" s="1047"/>
    </row>
    <row r="418" spans="1:18" ht="15">
      <c r="A418" s="1280" t="s">
        <v>1809</v>
      </c>
      <c r="B418" s="963" t="s">
        <v>46</v>
      </c>
      <c r="C418" s="1101">
        <v>47.8</v>
      </c>
      <c r="D418" s="162">
        <v>166570992</v>
      </c>
      <c r="E418" s="1227">
        <f t="shared" si="31"/>
        <v>99.895052946611543</v>
      </c>
      <c r="F418" s="1033"/>
      <c r="G418" s="1284" t="s">
        <v>1501</v>
      </c>
      <c r="H418" s="957"/>
      <c r="I418" s="1061">
        <v>33.28</v>
      </c>
      <c r="J418" s="1039">
        <v>106556750</v>
      </c>
      <c r="K418" s="1258">
        <f t="shared" si="32"/>
        <v>90.712866190729684</v>
      </c>
      <c r="L418" s="1033"/>
      <c r="M418" s="56"/>
      <c r="N418" s="1077"/>
      <c r="O418" s="1147"/>
      <c r="P418" s="55"/>
      <c r="Q418" s="1086"/>
      <c r="R418" s="1047"/>
    </row>
    <row r="419" spans="1:18" ht="15">
      <c r="A419" s="1284" t="s">
        <v>1501</v>
      </c>
      <c r="B419" s="963"/>
      <c r="C419" s="1101">
        <v>57.53</v>
      </c>
      <c r="D419" s="97">
        <v>166571085</v>
      </c>
      <c r="E419" s="1227">
        <f t="shared" si="31"/>
        <v>99.895108720067725</v>
      </c>
      <c r="F419" s="1033"/>
      <c r="G419" s="1226" t="s">
        <v>1809</v>
      </c>
      <c r="H419" s="963" t="s">
        <v>46</v>
      </c>
      <c r="I419" s="1216">
        <v>27.3</v>
      </c>
      <c r="J419" s="141">
        <v>106557596</v>
      </c>
      <c r="K419" s="1230">
        <f t="shared" si="32"/>
        <v>90.713586399302088</v>
      </c>
      <c r="L419" s="1033"/>
      <c r="M419" s="603"/>
      <c r="N419" s="1077"/>
      <c r="O419" s="1147"/>
      <c r="P419" s="55"/>
      <c r="Q419" s="1086"/>
      <c r="R419" s="1047"/>
    </row>
    <row r="420" spans="1:18" ht="15">
      <c r="A420" s="1280" t="s">
        <v>1817</v>
      </c>
      <c r="B420" s="1209"/>
      <c r="C420" s="1101">
        <v>258</v>
      </c>
      <c r="D420" s="97">
        <v>166684227</v>
      </c>
      <c r="E420" s="1227">
        <f t="shared" si="31"/>
        <v>99.962961627376373</v>
      </c>
      <c r="F420" s="1033"/>
      <c r="G420" s="1269" t="s">
        <v>1816</v>
      </c>
      <c r="H420" s="964" t="s">
        <v>46</v>
      </c>
      <c r="I420" s="1206">
        <v>7</v>
      </c>
      <c r="J420" s="940">
        <v>107064856</v>
      </c>
      <c r="K420" s="1258">
        <f t="shared" si="32"/>
        <v>91.145422097218074</v>
      </c>
      <c r="L420" s="1033"/>
      <c r="M420" s="603"/>
      <c r="N420" s="1077"/>
      <c r="O420" s="1147"/>
      <c r="P420" s="596"/>
      <c r="Q420" s="1086"/>
      <c r="R420" s="1047"/>
    </row>
    <row r="421" spans="1:18" ht="15">
      <c r="A421" s="1303" t="s">
        <v>746</v>
      </c>
      <c r="B421" s="967"/>
      <c r="C421" s="1101"/>
      <c r="D421" s="97">
        <v>166745987</v>
      </c>
      <c r="E421" s="1227">
        <f t="shared" si="31"/>
        <v>100</v>
      </c>
      <c r="F421" s="1033"/>
      <c r="G421" s="1261" t="s">
        <v>1812</v>
      </c>
      <c r="H421" s="963"/>
      <c r="I421" s="1206">
        <v>103</v>
      </c>
      <c r="J421" s="162">
        <v>107934008</v>
      </c>
      <c r="K421" s="1258">
        <f t="shared" si="32"/>
        <v>91.885340207289985</v>
      </c>
      <c r="L421" s="1033"/>
      <c r="M421" s="593"/>
      <c r="N421" s="1077"/>
      <c r="O421" s="1147"/>
      <c r="P421" s="55"/>
      <c r="Q421" s="1086"/>
      <c r="R421" s="1047"/>
    </row>
    <row r="422" spans="1:18" ht="15">
      <c r="A422" s="1280" t="s">
        <v>1550</v>
      </c>
      <c r="B422" s="967"/>
      <c r="C422" s="1101">
        <v>31</v>
      </c>
      <c r="D422" s="97">
        <v>166746137</v>
      </c>
      <c r="E422" s="1227">
        <f t="shared" si="31"/>
        <v>100.0000899571874</v>
      </c>
      <c r="F422" s="1033"/>
      <c r="G422" s="1226" t="s">
        <v>1817</v>
      </c>
      <c r="H422" s="961"/>
      <c r="I422" s="1206">
        <v>203</v>
      </c>
      <c r="J422" s="162">
        <v>108228241</v>
      </c>
      <c r="K422" s="1258">
        <f t="shared" si="32"/>
        <v>92.135823811171463</v>
      </c>
      <c r="L422" s="1033"/>
      <c r="M422" s="593"/>
      <c r="N422" s="1013"/>
      <c r="O422" s="1147"/>
      <c r="P422" s="55"/>
      <c r="Q422" s="1086"/>
      <c r="R422" s="1047"/>
    </row>
    <row r="423" spans="1:18" ht="15">
      <c r="A423" s="1302" t="s">
        <v>1566</v>
      </c>
      <c r="B423" s="968"/>
      <c r="C423" s="1101">
        <v>43.3</v>
      </c>
      <c r="D423" s="97">
        <v>167187700</v>
      </c>
      <c r="E423" s="1227">
        <f t="shared" si="31"/>
        <v>100.26490172744008</v>
      </c>
      <c r="F423" s="1033"/>
      <c r="G423" s="924" t="s">
        <v>1804</v>
      </c>
      <c r="H423" s="967"/>
      <c r="I423" s="1200">
        <v>23</v>
      </c>
      <c r="J423" s="940">
        <v>109325166</v>
      </c>
      <c r="K423" s="1258">
        <f t="shared" si="32"/>
        <v>93.06964743798315</v>
      </c>
      <c r="L423" s="1033"/>
      <c r="M423" s="56"/>
      <c r="N423" s="56"/>
      <c r="O423" s="1147"/>
      <c r="P423" s="596"/>
      <c r="Q423" s="1086"/>
      <c r="R423" s="1047"/>
    </row>
    <row r="424" spans="1:18" s="5" customFormat="1" ht="15">
      <c r="A424" s="1299" t="s">
        <v>860</v>
      </c>
      <c r="B424" s="969"/>
      <c r="C424" s="1101"/>
      <c r="D424" s="1038" t="s">
        <v>694</v>
      </c>
      <c r="E424" s="1055"/>
      <c r="F424" s="1170"/>
      <c r="G424" s="998" t="s">
        <v>746</v>
      </c>
      <c r="H424" s="969"/>
      <c r="I424" s="1206"/>
      <c r="J424" s="162">
        <v>117465972</v>
      </c>
      <c r="K424" s="1258">
        <f t="shared" si="32"/>
        <v>100</v>
      </c>
      <c r="L424" s="1171"/>
      <c r="M424" s="56"/>
      <c r="N424" s="1077"/>
      <c r="O424" s="1147"/>
      <c r="P424" s="55"/>
      <c r="Q424" s="1086"/>
      <c r="R424" s="1170"/>
    </row>
    <row r="425" spans="1:18" s="5" customFormat="1" ht="15">
      <c r="A425" s="593"/>
      <c r="B425" s="56"/>
      <c r="C425" s="56"/>
      <c r="D425" s="55"/>
      <c r="E425" s="1086"/>
      <c r="F425" s="1170"/>
      <c r="G425" s="1217"/>
      <c r="H425" s="987"/>
      <c r="I425" s="987"/>
      <c r="J425" s="106"/>
      <c r="K425" s="1086"/>
      <c r="L425" s="1171"/>
      <c r="M425" s="56"/>
      <c r="N425" s="56"/>
      <c r="O425" s="56"/>
      <c r="P425" s="55"/>
      <c r="Q425" s="1086"/>
      <c r="R425" s="1170"/>
    </row>
    <row r="426" spans="1:18" s="5" customFormat="1" ht="17.25">
      <c r="A426" s="593"/>
      <c r="B426" s="1355" t="s">
        <v>1821</v>
      </c>
      <c r="C426" s="56"/>
      <c r="D426" s="55"/>
      <c r="E426" s="1086"/>
      <c r="F426" s="1170"/>
      <c r="G426" s="1217"/>
      <c r="H426" s="987"/>
      <c r="I426" s="987"/>
      <c r="J426" s="106"/>
      <c r="K426" s="1086"/>
      <c r="L426" s="1171"/>
      <c r="M426" s="56"/>
      <c r="N426" s="56"/>
      <c r="O426" s="56"/>
      <c r="P426" s="55"/>
      <c r="Q426" s="1086"/>
      <c r="R426" s="1170"/>
    </row>
    <row r="427" spans="1:18" s="5" customFormat="1" ht="17.25">
      <c r="A427" s="100"/>
      <c r="B427" s="627" t="s">
        <v>1645</v>
      </c>
      <c r="C427" s="100"/>
      <c r="D427" s="1218"/>
      <c r="E427" s="1086"/>
      <c r="F427" s="1170"/>
      <c r="G427" s="56"/>
      <c r="H427" s="56"/>
      <c r="I427" s="56"/>
      <c r="J427" s="55"/>
      <c r="K427" s="1086"/>
      <c r="L427" s="1171"/>
      <c r="M427" s="104"/>
      <c r="N427" s="104"/>
      <c r="O427" s="104"/>
      <c r="P427" s="106"/>
      <c r="Q427" s="1086"/>
      <c r="R427" s="1170"/>
    </row>
    <row r="428" spans="1:18" s="5" customFormat="1" ht="17.25">
      <c r="A428" s="100"/>
      <c r="B428" s="64" t="s">
        <v>1859</v>
      </c>
      <c r="C428" s="100"/>
      <c r="D428" s="1218"/>
      <c r="E428" s="1086"/>
      <c r="F428" s="1170"/>
      <c r="G428" s="56"/>
      <c r="H428" s="56"/>
      <c r="I428" s="56"/>
      <c r="J428" s="55"/>
      <c r="K428" s="1086"/>
      <c r="L428" s="1171"/>
      <c r="M428" s="104"/>
      <c r="N428" s="104"/>
      <c r="O428" s="104"/>
      <c r="P428" s="106"/>
      <c r="Q428" s="1086"/>
      <c r="R428" s="1170"/>
    </row>
    <row r="429" spans="1:18" s="5" customFormat="1" ht="17.25">
      <c r="A429" s="100"/>
      <c r="B429" s="64"/>
      <c r="C429" s="100"/>
      <c r="D429" s="1218"/>
      <c r="E429" s="1086"/>
      <c r="F429" s="1170"/>
      <c r="G429" s="56"/>
      <c r="H429" s="56"/>
      <c r="I429" s="56"/>
      <c r="J429" s="55"/>
      <c r="K429" s="1086"/>
      <c r="L429" s="1171"/>
      <c r="M429" s="104"/>
      <c r="N429" s="104"/>
      <c r="O429" s="104"/>
      <c r="P429" s="106"/>
      <c r="Q429" s="1086"/>
      <c r="R429" s="1170"/>
    </row>
    <row r="430" spans="1:18" s="5" customFormat="1" ht="15">
      <c r="A430" s="100"/>
      <c r="B430" s="100"/>
      <c r="C430" s="100"/>
      <c r="D430" s="1218"/>
      <c r="E430" s="1086"/>
      <c r="F430" s="1170"/>
      <c r="G430" s="56"/>
      <c r="H430" s="56"/>
      <c r="I430" s="56"/>
      <c r="J430" s="55"/>
      <c r="K430" s="1086"/>
      <c r="L430" s="1171"/>
      <c r="M430" s="104"/>
      <c r="N430" s="104"/>
      <c r="O430" s="104"/>
      <c r="P430" s="106"/>
      <c r="Q430" s="1086"/>
      <c r="R430" s="1170"/>
    </row>
    <row r="431" spans="1:18" s="5" customFormat="1" ht="20.25">
      <c r="A431" s="1545" t="s">
        <v>1811</v>
      </c>
      <c r="B431" s="1033"/>
      <c r="C431" s="1033"/>
      <c r="D431" s="1033"/>
      <c r="E431" s="1046"/>
      <c r="F431" s="1033"/>
      <c r="G431" s="989"/>
      <c r="H431" s="989"/>
      <c r="I431" s="989"/>
      <c r="J431" s="989"/>
      <c r="K431" s="989"/>
      <c r="L431" s="989"/>
      <c r="M431" s="989"/>
      <c r="N431" s="1033"/>
      <c r="O431" s="1033"/>
      <c r="P431" s="1033"/>
      <c r="Q431" s="1046"/>
      <c r="R431" s="1170"/>
    </row>
    <row r="432" spans="1:18" s="5" customFormat="1" ht="15.75" thickBot="1">
      <c r="A432" s="1219"/>
      <c r="B432" s="1090"/>
      <c r="C432" s="1090"/>
      <c r="D432" s="1090"/>
      <c r="E432" s="1091"/>
      <c r="F432" s="1090"/>
      <c r="G432" s="1220"/>
      <c r="H432" s="990"/>
      <c r="I432" s="990"/>
      <c r="J432" s="990"/>
      <c r="K432" s="990"/>
      <c r="L432" s="990"/>
      <c r="M432" s="990"/>
      <c r="N432" s="1090"/>
      <c r="O432" s="1090"/>
      <c r="P432" s="1090"/>
      <c r="Q432" s="1091"/>
      <c r="R432" s="1170"/>
    </row>
    <row r="433" spans="1:18" s="5" customFormat="1" ht="15.75" thickTop="1">
      <c r="A433" s="1123"/>
      <c r="B433" s="1534"/>
      <c r="C433" s="1534"/>
      <c r="D433" s="1534"/>
      <c r="E433" s="1210"/>
      <c r="F433" s="1534"/>
      <c r="G433" s="1041"/>
      <c r="H433" s="989"/>
      <c r="I433" s="989"/>
      <c r="J433" s="989"/>
      <c r="K433" s="989"/>
      <c r="L433" s="989"/>
      <c r="M433" s="989"/>
      <c r="N433" s="1534"/>
      <c r="O433" s="1534"/>
      <c r="P433" s="1534"/>
      <c r="Q433" s="1210"/>
      <c r="R433" s="1170"/>
    </row>
    <row r="434" spans="1:18" s="5" customFormat="1" ht="15">
      <c r="A434" s="1544" t="s">
        <v>747</v>
      </c>
      <c r="B434" s="100"/>
      <c r="C434" s="100"/>
      <c r="D434" s="1218"/>
      <c r="E434" s="1086"/>
      <c r="F434" s="1170"/>
      <c r="G434" s="56"/>
      <c r="H434" s="56"/>
      <c r="I434" s="56"/>
      <c r="J434" s="55"/>
      <c r="K434" s="1086"/>
      <c r="L434" s="1171"/>
      <c r="M434" s="104"/>
      <c r="N434" s="104"/>
      <c r="O434" s="104"/>
      <c r="P434" s="106"/>
      <c r="Q434" s="1086"/>
      <c r="R434" s="1170"/>
    </row>
    <row r="435" spans="1:18" s="5" customFormat="1" ht="15">
      <c r="A435" s="3153" t="s">
        <v>748</v>
      </c>
      <c r="B435" s="3146"/>
      <c r="C435" s="3146"/>
      <c r="D435" s="3146"/>
      <c r="E435" s="3147"/>
      <c r="F435" s="1170"/>
      <c r="G435" s="3145" t="s">
        <v>748</v>
      </c>
      <c r="H435" s="3146"/>
      <c r="I435" s="3146"/>
      <c r="J435" s="3146"/>
      <c r="K435" s="3147"/>
      <c r="L435" s="1171"/>
      <c r="M435" s="3145" t="s">
        <v>748</v>
      </c>
      <c r="N435" s="3146"/>
      <c r="O435" s="3146"/>
      <c r="P435" s="3146"/>
      <c r="Q435" s="3147"/>
      <c r="R435" s="1170"/>
    </row>
    <row r="436" spans="1:18" s="5" customFormat="1" ht="90">
      <c r="A436" s="934" t="s">
        <v>749</v>
      </c>
      <c r="B436" s="951"/>
      <c r="C436" s="951"/>
      <c r="D436" s="935">
        <v>39934272</v>
      </c>
      <c r="E436" s="1244">
        <f t="shared" ref="E436:E459" si="33">(D436*100/39934272)</f>
        <v>100</v>
      </c>
      <c r="F436" s="1170"/>
      <c r="G436" s="934" t="s">
        <v>750</v>
      </c>
      <c r="H436" s="951"/>
      <c r="I436" s="951"/>
      <c r="J436" s="935">
        <v>141840000</v>
      </c>
      <c r="K436" s="1244">
        <f t="shared" ref="K436:K459" si="34">(J436*100/141840000)</f>
        <v>100</v>
      </c>
      <c r="L436" s="1171"/>
      <c r="M436" s="934" t="s">
        <v>751</v>
      </c>
      <c r="N436" s="951"/>
      <c r="O436" s="951"/>
      <c r="P436" s="935">
        <v>194118968</v>
      </c>
      <c r="Q436" s="1244">
        <f t="shared" ref="Q436:Q459" si="35">(P436*100/194118968)</f>
        <v>100</v>
      </c>
      <c r="R436" s="1170"/>
    </row>
    <row r="437" spans="1:18" s="5" customFormat="1" ht="15">
      <c r="A437" s="1282" t="s">
        <v>1242</v>
      </c>
      <c r="B437" s="957" t="s">
        <v>46</v>
      </c>
      <c r="C437" s="1221">
        <v>507.62</v>
      </c>
      <c r="D437" s="939">
        <v>34888345</v>
      </c>
      <c r="E437" s="1244">
        <f t="shared" si="33"/>
        <v>87.36441971447482</v>
      </c>
      <c r="F437" s="1170"/>
      <c r="G437" s="1265" t="s">
        <v>1813</v>
      </c>
      <c r="H437" s="1213"/>
      <c r="I437" s="1221">
        <v>73.826999999999998</v>
      </c>
      <c r="J437" s="976">
        <v>110259136</v>
      </c>
      <c r="K437" s="1244">
        <f t="shared" si="34"/>
        <v>77.734867456288782</v>
      </c>
      <c r="L437" s="1171"/>
      <c r="M437" s="1275" t="s">
        <v>146</v>
      </c>
      <c r="N437" s="1213"/>
      <c r="O437" s="1221">
        <v>4867.75</v>
      </c>
      <c r="P437" s="939">
        <v>144970494</v>
      </c>
      <c r="Q437" s="1244">
        <f t="shared" si="35"/>
        <v>74.681261441694872</v>
      </c>
      <c r="R437" s="1170"/>
    </row>
    <row r="438" spans="1:18" s="5" customFormat="1" ht="15">
      <c r="A438" s="1280" t="s">
        <v>146</v>
      </c>
      <c r="B438" s="956"/>
      <c r="C438" s="960">
        <v>974.6</v>
      </c>
      <c r="D438" s="943">
        <v>35317296</v>
      </c>
      <c r="E438" s="1244">
        <f t="shared" si="33"/>
        <v>88.438562245481776</v>
      </c>
      <c r="F438" s="1170"/>
      <c r="G438" s="1276" t="s">
        <v>703</v>
      </c>
      <c r="H438" s="956"/>
      <c r="I438" s="960">
        <v>197.078</v>
      </c>
      <c r="J438" s="943">
        <v>110318188</v>
      </c>
      <c r="K438" s="1244">
        <f t="shared" si="34"/>
        <v>77.776500282007902</v>
      </c>
      <c r="L438" s="1171"/>
      <c r="M438" s="1267" t="s">
        <v>1814</v>
      </c>
      <c r="N438" s="957"/>
      <c r="O438" s="960">
        <v>1433.25</v>
      </c>
      <c r="P438" s="943">
        <v>145765069</v>
      </c>
      <c r="Q438" s="1244">
        <f t="shared" si="35"/>
        <v>75.090585171460418</v>
      </c>
      <c r="R438" s="1170"/>
    </row>
    <row r="439" spans="1:18" s="5" customFormat="1" ht="15">
      <c r="A439" s="1280" t="s">
        <v>1813</v>
      </c>
      <c r="B439" s="968"/>
      <c r="C439" s="955">
        <v>22.954999999999998</v>
      </c>
      <c r="D439" s="940">
        <v>35613408</v>
      </c>
      <c r="E439" s="1244">
        <f t="shared" si="33"/>
        <v>89.180060675702308</v>
      </c>
      <c r="F439" s="1170"/>
      <c r="G439" s="1274" t="s">
        <v>146</v>
      </c>
      <c r="H439" s="968"/>
      <c r="I439" s="953">
        <v>3764.4</v>
      </c>
      <c r="J439" s="162">
        <v>112233987</v>
      </c>
      <c r="K439" s="1244">
        <f t="shared" si="34"/>
        <v>79.127176395939088</v>
      </c>
      <c r="L439" s="1171"/>
      <c r="M439" s="1261" t="s">
        <v>1813</v>
      </c>
      <c r="N439" s="968"/>
      <c r="O439" s="955">
        <v>79.028000000000006</v>
      </c>
      <c r="P439" s="940">
        <v>149315056</v>
      </c>
      <c r="Q439" s="1244">
        <f t="shared" si="35"/>
        <v>76.91935390878443</v>
      </c>
      <c r="R439" s="1170"/>
    </row>
    <row r="440" spans="1:18" s="5" customFormat="1" ht="15">
      <c r="A440" s="1280" t="s">
        <v>1814</v>
      </c>
      <c r="B440" s="957" t="s">
        <v>46</v>
      </c>
      <c r="C440" s="958">
        <v>313.89</v>
      </c>
      <c r="D440" s="979">
        <v>35724580</v>
      </c>
      <c r="E440" s="1244">
        <f t="shared" si="33"/>
        <v>89.458448121953992</v>
      </c>
      <c r="F440" s="1170"/>
      <c r="G440" s="1261" t="s">
        <v>1812</v>
      </c>
      <c r="H440" s="957"/>
      <c r="I440" s="958">
        <v>82</v>
      </c>
      <c r="J440" s="979">
        <v>112671801</v>
      </c>
      <c r="K440" s="1244">
        <f t="shared" si="34"/>
        <v>79.435843908629437</v>
      </c>
      <c r="L440" s="1171"/>
      <c r="M440" s="1267" t="s">
        <v>1815</v>
      </c>
      <c r="N440" s="956"/>
      <c r="O440" s="958">
        <v>329.69</v>
      </c>
      <c r="P440" s="941">
        <v>149487889</v>
      </c>
      <c r="Q440" s="1244">
        <f t="shared" si="35"/>
        <v>77.008388484735818</v>
      </c>
      <c r="R440" s="1170"/>
    </row>
    <row r="441" spans="1:18" s="5" customFormat="1" ht="15">
      <c r="A441" s="1280" t="s">
        <v>1815</v>
      </c>
      <c r="B441" s="956"/>
      <c r="C441" s="955">
        <v>66.33</v>
      </c>
      <c r="D441" s="940">
        <v>36022011</v>
      </c>
      <c r="E441" s="1244">
        <f t="shared" si="33"/>
        <v>90.203249479544795</v>
      </c>
      <c r="F441" s="1170"/>
      <c r="G441" s="1267" t="s">
        <v>1814</v>
      </c>
      <c r="H441" s="963"/>
      <c r="I441" s="955">
        <v>1073.57</v>
      </c>
      <c r="J441" s="162">
        <v>113261896</v>
      </c>
      <c r="K441" s="1244">
        <f t="shared" si="34"/>
        <v>79.851872532430903</v>
      </c>
      <c r="L441" s="1171"/>
      <c r="M441" s="1261" t="s">
        <v>1550</v>
      </c>
      <c r="N441" s="968"/>
      <c r="O441" s="955">
        <v>37</v>
      </c>
      <c r="P441" s="940">
        <v>151454478</v>
      </c>
      <c r="Q441" s="1244">
        <f t="shared" si="35"/>
        <v>78.021472893880215</v>
      </c>
      <c r="R441" s="1170"/>
    </row>
    <row r="442" spans="1:18" s="5" customFormat="1" ht="15">
      <c r="A442" s="1280" t="s">
        <v>1849</v>
      </c>
      <c r="B442" s="963" t="s">
        <v>46</v>
      </c>
      <c r="C442" s="953">
        <v>8</v>
      </c>
      <c r="D442" s="940">
        <v>36954342</v>
      </c>
      <c r="E442" s="1244">
        <f t="shared" si="33"/>
        <v>92.537913299133137</v>
      </c>
      <c r="F442" s="1170"/>
      <c r="G442" s="1267" t="s">
        <v>1815</v>
      </c>
      <c r="H442" s="968"/>
      <c r="I442" s="955">
        <v>243.48</v>
      </c>
      <c r="J442" s="162">
        <v>114572726</v>
      </c>
      <c r="K442" s="1244">
        <f t="shared" si="34"/>
        <v>80.776033558939645</v>
      </c>
      <c r="L442" s="1171"/>
      <c r="M442" s="1261" t="s">
        <v>1849</v>
      </c>
      <c r="N442" s="963" t="s">
        <v>46</v>
      </c>
      <c r="O442" s="953">
        <v>49</v>
      </c>
      <c r="P442" s="940">
        <v>152321987</v>
      </c>
      <c r="Q442" s="1244">
        <f t="shared" si="35"/>
        <v>78.468368428581385</v>
      </c>
      <c r="R442" s="1170"/>
    </row>
    <row r="443" spans="1:18" s="5" customFormat="1" ht="15">
      <c r="A443" s="1285" t="s">
        <v>917</v>
      </c>
      <c r="B443" s="968"/>
      <c r="C443" s="955">
        <v>50.4</v>
      </c>
      <c r="D443" s="940">
        <v>36966741</v>
      </c>
      <c r="E443" s="1230">
        <f t="shared" si="33"/>
        <v>92.568961818059435</v>
      </c>
      <c r="F443" s="1170"/>
      <c r="G443" s="1261" t="s">
        <v>1849</v>
      </c>
      <c r="H443" s="963" t="s">
        <v>46</v>
      </c>
      <c r="I443" s="953">
        <v>40</v>
      </c>
      <c r="J443" s="162">
        <v>115505875</v>
      </c>
      <c r="K443" s="1244">
        <f t="shared" si="34"/>
        <v>81.433922024816695</v>
      </c>
      <c r="L443" s="1171"/>
      <c r="M443" s="1269" t="s">
        <v>1816</v>
      </c>
      <c r="N443" s="964" t="s">
        <v>46</v>
      </c>
      <c r="O443" s="955">
        <v>9</v>
      </c>
      <c r="P443" s="940">
        <v>155670346</v>
      </c>
      <c r="Q443" s="1230">
        <f t="shared" si="35"/>
        <v>80.193268903016218</v>
      </c>
      <c r="R443" s="1170"/>
    </row>
    <row r="444" spans="1:18" s="5" customFormat="1" ht="15">
      <c r="A444" s="1280" t="s">
        <v>1550</v>
      </c>
      <c r="B444" s="1205"/>
      <c r="C444" s="960">
        <v>8</v>
      </c>
      <c r="D444" s="945">
        <v>37033099</v>
      </c>
      <c r="E444" s="1244">
        <f t="shared" si="33"/>
        <v>92.735129865394811</v>
      </c>
      <c r="F444" s="1170"/>
      <c r="G444" s="1262" t="s">
        <v>1242</v>
      </c>
      <c r="H444" s="957" t="s">
        <v>46</v>
      </c>
      <c r="I444" s="955">
        <v>1772.6</v>
      </c>
      <c r="J444" s="940">
        <v>117798172</v>
      </c>
      <c r="K444" s="1244">
        <f t="shared" si="34"/>
        <v>83.05003666102651</v>
      </c>
      <c r="L444" s="1171"/>
      <c r="M444" s="1261" t="s">
        <v>1818</v>
      </c>
      <c r="N444" s="963"/>
      <c r="O444" s="955">
        <v>838.3</v>
      </c>
      <c r="P444" s="940">
        <v>155730049</v>
      </c>
      <c r="Q444" s="1244">
        <f t="shared" si="35"/>
        <v>80.2240247846362</v>
      </c>
      <c r="R444" s="1170"/>
    </row>
    <row r="445" spans="1:18" s="5" customFormat="1" ht="15">
      <c r="A445" s="1280" t="s">
        <v>1808</v>
      </c>
      <c r="B445" s="957" t="s">
        <v>46</v>
      </c>
      <c r="C445" s="955">
        <v>24.96</v>
      </c>
      <c r="D445" s="162">
        <v>37052117</v>
      </c>
      <c r="E445" s="1244">
        <f t="shared" si="33"/>
        <v>92.782753119926667</v>
      </c>
      <c r="F445" s="1170"/>
      <c r="G445" s="1280" t="s">
        <v>1808</v>
      </c>
      <c r="H445" s="957" t="s">
        <v>46</v>
      </c>
      <c r="I445" s="955">
        <v>115.23</v>
      </c>
      <c r="J445" s="162">
        <v>118056831</v>
      </c>
      <c r="K445" s="1244">
        <f t="shared" si="34"/>
        <v>83.232396362098143</v>
      </c>
      <c r="L445" s="1171"/>
      <c r="M445" s="1261" t="s">
        <v>1812</v>
      </c>
      <c r="N445" s="964"/>
      <c r="O445" s="960">
        <v>156</v>
      </c>
      <c r="P445" s="943">
        <v>156562243</v>
      </c>
      <c r="Q445" s="1244">
        <f t="shared" si="35"/>
        <v>80.652727867376669</v>
      </c>
      <c r="R445" s="1170"/>
    </row>
    <row r="446" spans="1:18" s="5" customFormat="1" ht="15">
      <c r="A446" s="1287" t="s">
        <v>1800</v>
      </c>
      <c r="B446" s="963"/>
      <c r="C446" s="953">
        <v>34.700000000000003</v>
      </c>
      <c r="D446" s="162">
        <v>37241935</v>
      </c>
      <c r="E446" s="1244">
        <f t="shared" si="33"/>
        <v>93.258079175701511</v>
      </c>
      <c r="F446" s="1170"/>
      <c r="G446" s="1261" t="s">
        <v>1550</v>
      </c>
      <c r="H446" s="1203"/>
      <c r="I446" s="960">
        <v>31</v>
      </c>
      <c r="J446" s="945">
        <v>118536055</v>
      </c>
      <c r="K446" s="1244">
        <f t="shared" si="34"/>
        <v>83.570258742244789</v>
      </c>
      <c r="L446" s="1171"/>
      <c r="M446" s="1284" t="s">
        <v>917</v>
      </c>
      <c r="N446" s="963"/>
      <c r="O446" s="955">
        <v>293.26</v>
      </c>
      <c r="P446" s="940">
        <v>160123152</v>
      </c>
      <c r="Q446" s="1244">
        <f t="shared" si="35"/>
        <v>82.487123051262046</v>
      </c>
      <c r="R446" s="1170"/>
    </row>
    <row r="447" spans="1:18" s="5" customFormat="1" ht="15">
      <c r="A447" s="1306" t="s">
        <v>1566</v>
      </c>
      <c r="B447" s="964"/>
      <c r="C447" s="960">
        <v>34.14</v>
      </c>
      <c r="D447" s="943">
        <v>37386848</v>
      </c>
      <c r="E447" s="1230">
        <f t="shared" si="33"/>
        <v>93.620957958116776</v>
      </c>
      <c r="F447" s="1170"/>
      <c r="G447" s="1277" t="s">
        <v>1818</v>
      </c>
      <c r="H447" s="964"/>
      <c r="I447" s="960">
        <v>524.20000000000005</v>
      </c>
      <c r="J447" s="943">
        <v>118696360</v>
      </c>
      <c r="K447" s="1230">
        <f t="shared" si="34"/>
        <v>83.683276931754094</v>
      </c>
      <c r="L447" s="1171"/>
      <c r="M447" s="1280" t="s">
        <v>1808</v>
      </c>
      <c r="N447" s="957" t="s">
        <v>46</v>
      </c>
      <c r="O447" s="960">
        <v>194.86</v>
      </c>
      <c r="P447" s="943">
        <v>160361751</v>
      </c>
      <c r="Q447" s="1230">
        <f t="shared" si="35"/>
        <v>82.610036851215895</v>
      </c>
      <c r="R447" s="1170"/>
    </row>
    <row r="448" spans="1:18" s="5" customFormat="1" ht="15">
      <c r="A448" s="1284" t="s">
        <v>1806</v>
      </c>
      <c r="B448" s="963" t="s">
        <v>46</v>
      </c>
      <c r="C448" s="955">
        <v>36.090000000000003</v>
      </c>
      <c r="D448" s="940">
        <v>37419871</v>
      </c>
      <c r="E448" s="1244">
        <f t="shared" si="33"/>
        <v>93.703651339881688</v>
      </c>
      <c r="F448" s="1170"/>
      <c r="G448" s="1284" t="s">
        <v>917</v>
      </c>
      <c r="H448" s="963"/>
      <c r="I448" s="955">
        <v>167.8</v>
      </c>
      <c r="J448" s="162">
        <v>118882105</v>
      </c>
      <c r="K448" s="1244">
        <f t="shared" si="34"/>
        <v>83.814230823463063</v>
      </c>
      <c r="L448" s="1171"/>
      <c r="M448" s="98" t="s">
        <v>752</v>
      </c>
      <c r="N448" s="963" t="s">
        <v>46</v>
      </c>
      <c r="O448" s="953">
        <v>0</v>
      </c>
      <c r="P448" s="162">
        <v>165603777</v>
      </c>
      <c r="Q448" s="1244">
        <f t="shared" si="35"/>
        <v>85.310456111635617</v>
      </c>
      <c r="R448" s="1170"/>
    </row>
    <row r="449" spans="1:18" s="5" customFormat="1" ht="15">
      <c r="A449" s="1292" t="s">
        <v>926</v>
      </c>
      <c r="B449" s="969" t="s">
        <v>46</v>
      </c>
      <c r="C449" s="955">
        <v>114.84</v>
      </c>
      <c r="D449" s="162">
        <v>37470320</v>
      </c>
      <c r="E449" s="1244">
        <f t="shared" si="33"/>
        <v>93.829981425478351</v>
      </c>
      <c r="F449" s="1170"/>
      <c r="G449" s="1269" t="s">
        <v>1816</v>
      </c>
      <c r="H449" s="964" t="s">
        <v>46</v>
      </c>
      <c r="I449" s="953">
        <v>8</v>
      </c>
      <c r="J449" s="940">
        <v>120394722</v>
      </c>
      <c r="K449" s="1244">
        <f t="shared" si="34"/>
        <v>84.880655668358713</v>
      </c>
      <c r="L449" s="1171"/>
      <c r="M449" s="1262" t="s">
        <v>1242</v>
      </c>
      <c r="N449" s="957" t="s">
        <v>46</v>
      </c>
      <c r="O449" s="953">
        <v>2439.7199999999998</v>
      </c>
      <c r="P449" s="162">
        <v>165651013</v>
      </c>
      <c r="Q449" s="1244">
        <f t="shared" si="35"/>
        <v>85.33478964301932</v>
      </c>
      <c r="R449" s="1170"/>
    </row>
    <row r="450" spans="1:18" s="5" customFormat="1" ht="15">
      <c r="A450" s="1280" t="s">
        <v>1818</v>
      </c>
      <c r="B450" s="957"/>
      <c r="C450" s="962">
        <v>188</v>
      </c>
      <c r="D450" s="980">
        <v>37669073</v>
      </c>
      <c r="E450" s="1260">
        <f t="shared" si="33"/>
        <v>94.327681746646093</v>
      </c>
      <c r="F450" s="1170"/>
      <c r="G450" s="1236" t="s">
        <v>752</v>
      </c>
      <c r="H450" s="957" t="s">
        <v>46</v>
      </c>
      <c r="I450" s="962">
        <v>0</v>
      </c>
      <c r="J450" s="944">
        <v>121995069</v>
      </c>
      <c r="K450" s="1260">
        <f t="shared" si="34"/>
        <v>86.008931895093056</v>
      </c>
      <c r="L450" s="1171"/>
      <c r="M450" s="1226" t="s">
        <v>1817</v>
      </c>
      <c r="N450" s="1067"/>
      <c r="O450" s="1214">
        <v>246</v>
      </c>
      <c r="P450" s="944">
        <v>171147620</v>
      </c>
      <c r="Q450" s="1260">
        <f t="shared" si="35"/>
        <v>88.166355798883089</v>
      </c>
      <c r="R450" s="1170"/>
    </row>
    <row r="451" spans="1:18" s="5" customFormat="1" ht="15">
      <c r="A451" s="1299" t="s">
        <v>703</v>
      </c>
      <c r="B451" s="956"/>
      <c r="C451" s="955">
        <v>61.921999999999997</v>
      </c>
      <c r="D451" s="162">
        <v>37781467</v>
      </c>
      <c r="E451" s="1244">
        <f t="shared" si="33"/>
        <v>94.609129221136172</v>
      </c>
      <c r="F451" s="1170"/>
      <c r="G451" s="1226" t="s">
        <v>1817</v>
      </c>
      <c r="H451" s="961"/>
      <c r="I451" s="955">
        <v>197</v>
      </c>
      <c r="J451" s="162">
        <v>125876403</v>
      </c>
      <c r="K451" s="1244">
        <f t="shared" si="34"/>
        <v>88.745348984771567</v>
      </c>
      <c r="L451" s="1171"/>
      <c r="M451" s="1262" t="s">
        <v>1806</v>
      </c>
      <c r="N451" s="963" t="s">
        <v>46</v>
      </c>
      <c r="O451" s="953">
        <v>196.53</v>
      </c>
      <c r="P451" s="940">
        <v>177085275</v>
      </c>
      <c r="Q451" s="1244">
        <f t="shared" si="35"/>
        <v>91.225126954105789</v>
      </c>
      <c r="R451" s="1170"/>
    </row>
    <row r="452" spans="1:18" s="5" customFormat="1" ht="15">
      <c r="A452" s="1280" t="s">
        <v>1812</v>
      </c>
      <c r="B452" s="969"/>
      <c r="C452" s="953">
        <v>29</v>
      </c>
      <c r="D452" s="162">
        <v>38524607</v>
      </c>
      <c r="E452" s="1244">
        <f t="shared" si="33"/>
        <v>96.470037064905057</v>
      </c>
      <c r="F452" s="1170"/>
      <c r="G452" s="1263" t="s">
        <v>1800</v>
      </c>
      <c r="H452" s="963"/>
      <c r="I452" s="955">
        <v>132.69999999999999</v>
      </c>
      <c r="J452" s="162">
        <v>126738650</v>
      </c>
      <c r="K452" s="1244">
        <f t="shared" si="34"/>
        <v>89.353250141003954</v>
      </c>
      <c r="L452" s="1171"/>
      <c r="M452" s="1263" t="s">
        <v>1800</v>
      </c>
      <c r="N452" s="957"/>
      <c r="O452" s="955">
        <v>184.8</v>
      </c>
      <c r="P452" s="162">
        <v>177436221</v>
      </c>
      <c r="Q452" s="1244">
        <f t="shared" si="35"/>
        <v>91.405916087499492</v>
      </c>
      <c r="R452" s="1170"/>
    </row>
    <row r="453" spans="1:18" s="5" customFormat="1" ht="15">
      <c r="A453" s="1288" t="s">
        <v>1804</v>
      </c>
      <c r="B453" s="971"/>
      <c r="C453" s="1201">
        <v>4</v>
      </c>
      <c r="D453" s="945">
        <v>38539746</v>
      </c>
      <c r="E453" s="1230">
        <f t="shared" si="33"/>
        <v>96.507946858277521</v>
      </c>
      <c r="F453" s="1170"/>
      <c r="G453" s="1281" t="s">
        <v>926</v>
      </c>
      <c r="H453" s="969" t="s">
        <v>46</v>
      </c>
      <c r="I453" s="960">
        <v>90.9</v>
      </c>
      <c r="J453" s="943">
        <v>127266618</v>
      </c>
      <c r="K453" s="1230">
        <f t="shared" si="34"/>
        <v>89.725478003384097</v>
      </c>
      <c r="L453" s="1171"/>
      <c r="M453" s="98" t="s">
        <v>703</v>
      </c>
      <c r="N453" s="966"/>
      <c r="O453" s="960">
        <v>307.89100000000002</v>
      </c>
      <c r="P453" s="943">
        <v>178957506</v>
      </c>
      <c r="Q453" s="1230">
        <f t="shared" si="35"/>
        <v>92.189603027355886</v>
      </c>
      <c r="R453" s="1170"/>
    </row>
    <row r="454" spans="1:18" s="5" customFormat="1" ht="15">
      <c r="A454" s="1291" t="s">
        <v>1816</v>
      </c>
      <c r="B454" s="964" t="s">
        <v>46</v>
      </c>
      <c r="C454" s="953">
        <v>2</v>
      </c>
      <c r="D454" s="940">
        <v>38974426</v>
      </c>
      <c r="E454" s="1244">
        <f t="shared" si="33"/>
        <v>97.596435462752396</v>
      </c>
      <c r="F454" s="1170"/>
      <c r="G454" s="1262" t="s">
        <v>1806</v>
      </c>
      <c r="H454" s="963" t="s">
        <v>46</v>
      </c>
      <c r="I454" s="953">
        <v>155.24</v>
      </c>
      <c r="J454" s="162">
        <v>127298664</v>
      </c>
      <c r="K454" s="1244">
        <f t="shared" si="34"/>
        <v>89.748071065989848</v>
      </c>
      <c r="L454" s="1171"/>
      <c r="M454" s="1281" t="s">
        <v>926</v>
      </c>
      <c r="N454" s="969" t="s">
        <v>46</v>
      </c>
      <c r="O454" s="953">
        <v>133.56</v>
      </c>
      <c r="P454" s="162">
        <v>182647362</v>
      </c>
      <c r="Q454" s="1244">
        <f t="shared" si="35"/>
        <v>94.090425001641265</v>
      </c>
      <c r="R454" s="1170"/>
    </row>
    <row r="455" spans="1:18" s="5" customFormat="1" ht="15">
      <c r="A455" s="1284" t="s">
        <v>1501</v>
      </c>
      <c r="B455" s="963"/>
      <c r="C455" s="953">
        <v>12.39</v>
      </c>
      <c r="D455" s="162">
        <v>39015709</v>
      </c>
      <c r="E455" s="1244">
        <f t="shared" si="33"/>
        <v>97.69981283244627</v>
      </c>
      <c r="F455" s="1170"/>
      <c r="G455" s="1010" t="s">
        <v>1566</v>
      </c>
      <c r="H455" s="963"/>
      <c r="I455" s="955">
        <v>120.4</v>
      </c>
      <c r="J455" s="162">
        <v>128194917</v>
      </c>
      <c r="K455" s="1244">
        <f t="shared" si="34"/>
        <v>90.379947123519457</v>
      </c>
      <c r="L455" s="1171"/>
      <c r="M455" s="1010" t="s">
        <v>1566</v>
      </c>
      <c r="N455" s="963"/>
      <c r="O455" s="953">
        <v>182.42</v>
      </c>
      <c r="P455" s="162">
        <v>182873948</v>
      </c>
      <c r="Q455" s="1244">
        <f t="shared" si="35"/>
        <v>94.207150328555215</v>
      </c>
      <c r="R455" s="1170"/>
    </row>
    <row r="456" spans="1:18" s="5" customFormat="1" ht="15">
      <c r="A456" s="1280" t="s">
        <v>1809</v>
      </c>
      <c r="B456" s="963" t="s">
        <v>46</v>
      </c>
      <c r="C456" s="953">
        <v>10.5</v>
      </c>
      <c r="D456" s="162">
        <v>39016625</v>
      </c>
      <c r="E456" s="1244">
        <f t="shared" si="33"/>
        <v>97.702106601567692</v>
      </c>
      <c r="F456" s="1170"/>
      <c r="G456" s="950" t="s">
        <v>1804</v>
      </c>
      <c r="H456" s="967"/>
      <c r="I456" s="955">
        <v>17</v>
      </c>
      <c r="J456" s="940">
        <v>133261099</v>
      </c>
      <c r="K456" s="1244">
        <f t="shared" si="34"/>
        <v>93.951705442752399</v>
      </c>
      <c r="L456" s="1171"/>
      <c r="M456" s="950" t="s">
        <v>1804</v>
      </c>
      <c r="N456" s="967"/>
      <c r="O456" s="953">
        <v>23</v>
      </c>
      <c r="P456" s="940">
        <v>183955022</v>
      </c>
      <c r="Q456" s="1244">
        <f t="shared" si="35"/>
        <v>94.764063447936735</v>
      </c>
      <c r="R456" s="1170"/>
    </row>
    <row r="457" spans="1:18" s="5" customFormat="1" ht="15">
      <c r="A457" s="1280" t="s">
        <v>1817</v>
      </c>
      <c r="B457" s="961"/>
      <c r="C457" s="955">
        <v>58</v>
      </c>
      <c r="D457" s="162">
        <v>39021170</v>
      </c>
      <c r="E457" s="1244">
        <f t="shared" si="33"/>
        <v>97.713487803158145</v>
      </c>
      <c r="F457" s="1170"/>
      <c r="G457" s="1256" t="s">
        <v>1809</v>
      </c>
      <c r="H457" s="963" t="s">
        <v>46</v>
      </c>
      <c r="I457" s="953">
        <v>37.75</v>
      </c>
      <c r="J457" s="940">
        <v>136046407</v>
      </c>
      <c r="K457" s="1244">
        <f t="shared" si="34"/>
        <v>95.915402566271851</v>
      </c>
      <c r="L457" s="1171"/>
      <c r="M457" s="1284" t="s">
        <v>1501</v>
      </c>
      <c r="N457" s="963"/>
      <c r="O457" s="955">
        <v>65</v>
      </c>
      <c r="P457" s="940">
        <v>190665038</v>
      </c>
      <c r="Q457" s="1244">
        <f t="shared" si="35"/>
        <v>98.220714835038692</v>
      </c>
      <c r="R457" s="1170"/>
    </row>
    <row r="458" spans="1:18" s="5" customFormat="1" ht="15">
      <c r="A458" s="1314" t="s">
        <v>752</v>
      </c>
      <c r="B458" s="963" t="s">
        <v>46</v>
      </c>
      <c r="C458" s="953">
        <v>0</v>
      </c>
      <c r="D458" s="97">
        <v>39897867</v>
      </c>
      <c r="E458" s="1244">
        <f t="shared" si="33"/>
        <v>99.908837702112109</v>
      </c>
      <c r="F458" s="1170"/>
      <c r="G458" s="1284" t="s">
        <v>1501</v>
      </c>
      <c r="H458" s="963"/>
      <c r="I458" s="955">
        <v>86</v>
      </c>
      <c r="J458" s="940">
        <v>136046896</v>
      </c>
      <c r="K458" s="1244">
        <f t="shared" si="34"/>
        <v>95.915747320924993</v>
      </c>
      <c r="L458" s="1171"/>
      <c r="M458" s="1252" t="s">
        <v>1809</v>
      </c>
      <c r="N458" s="963" t="s">
        <v>46</v>
      </c>
      <c r="O458" s="953">
        <v>52.3</v>
      </c>
      <c r="P458" s="97">
        <v>190669330</v>
      </c>
      <c r="Q458" s="1244">
        <f t="shared" si="35"/>
        <v>98.222925850296093</v>
      </c>
      <c r="R458" s="1170"/>
    </row>
    <row r="459" spans="1:18" s="5" customFormat="1" ht="15">
      <c r="A459" s="1288" t="s">
        <v>746</v>
      </c>
      <c r="B459" s="1209"/>
      <c r="C459" s="972"/>
      <c r="D459" s="97">
        <v>39934272</v>
      </c>
      <c r="E459" s="1244">
        <f t="shared" si="33"/>
        <v>100</v>
      </c>
      <c r="F459" s="1170"/>
      <c r="G459" s="99" t="s">
        <v>746</v>
      </c>
      <c r="H459" s="1209"/>
      <c r="I459" s="953"/>
      <c r="J459" s="97">
        <v>141840000</v>
      </c>
      <c r="K459" s="1244">
        <f t="shared" si="34"/>
        <v>100</v>
      </c>
      <c r="L459" s="1171"/>
      <c r="M459" s="99" t="s">
        <v>746</v>
      </c>
      <c r="N459" s="966"/>
      <c r="O459" s="972"/>
      <c r="P459" s="97">
        <v>194118968</v>
      </c>
      <c r="Q459" s="1244">
        <f t="shared" si="35"/>
        <v>100</v>
      </c>
      <c r="R459" s="1170"/>
    </row>
    <row r="460" spans="1:18" s="5" customFormat="1" ht="15">
      <c r="A460" s="100"/>
      <c r="B460" s="100"/>
      <c r="C460" s="100"/>
      <c r="D460" s="1218"/>
      <c r="E460" s="1086"/>
      <c r="F460" s="1170"/>
      <c r="G460" s="56"/>
      <c r="H460" s="56"/>
      <c r="I460" s="56"/>
      <c r="J460" s="55"/>
      <c r="K460" s="1086"/>
      <c r="L460" s="1171"/>
      <c r="M460" s="104"/>
      <c r="N460" s="104"/>
      <c r="O460" s="104"/>
      <c r="P460" s="106"/>
      <c r="Q460" s="1086"/>
      <c r="R460" s="1170"/>
    </row>
    <row r="461" spans="1:18" s="5" customFormat="1" ht="15">
      <c r="A461" s="100"/>
      <c r="B461" s="100"/>
      <c r="C461" s="100"/>
      <c r="D461" s="1218"/>
      <c r="E461" s="1086"/>
      <c r="F461" s="1170"/>
      <c r="G461" s="56"/>
      <c r="H461" s="56"/>
      <c r="I461" s="56"/>
      <c r="J461" s="55"/>
      <c r="K461" s="1086"/>
      <c r="L461" s="1171"/>
      <c r="M461" s="104"/>
      <c r="N461" s="104"/>
      <c r="O461" s="104"/>
      <c r="P461" s="106"/>
      <c r="Q461" s="1086"/>
      <c r="R461" s="1170"/>
    </row>
    <row r="462" spans="1:18" s="5" customFormat="1" ht="15">
      <c r="A462" s="100"/>
      <c r="B462" s="100"/>
      <c r="C462" s="100"/>
      <c r="D462" s="1218"/>
      <c r="E462" s="1086"/>
      <c r="F462" s="1170"/>
      <c r="G462" s="56"/>
      <c r="H462" s="56"/>
      <c r="I462" s="56"/>
      <c r="J462" s="55"/>
      <c r="K462" s="1086"/>
      <c r="L462" s="1171"/>
      <c r="M462" s="104"/>
      <c r="N462" s="104"/>
      <c r="O462" s="104"/>
      <c r="P462" s="106"/>
      <c r="Q462" s="1086"/>
      <c r="R462" s="1170"/>
    </row>
    <row r="463" spans="1:18" s="5" customFormat="1" ht="15">
      <c r="A463" s="3145" t="s">
        <v>753</v>
      </c>
      <c r="B463" s="3146"/>
      <c r="C463" s="3146"/>
      <c r="D463" s="3146"/>
      <c r="E463" s="3147"/>
      <c r="F463" s="1170"/>
      <c r="G463" s="3148"/>
      <c r="H463" s="3149"/>
      <c r="I463" s="3149"/>
      <c r="J463" s="3149"/>
      <c r="K463" s="3149"/>
      <c r="L463" s="1171"/>
      <c r="M463" s="3148"/>
      <c r="N463" s="3149"/>
      <c r="O463" s="3149"/>
      <c r="P463" s="3149"/>
      <c r="Q463" s="3149"/>
      <c r="R463" s="1170"/>
    </row>
    <row r="464" spans="1:18" s="5" customFormat="1" ht="45">
      <c r="A464" s="934" t="s">
        <v>754</v>
      </c>
      <c r="B464" s="951"/>
      <c r="C464" s="952" t="s">
        <v>693</v>
      </c>
      <c r="D464" s="935">
        <v>10860886</v>
      </c>
      <c r="E464" s="1244">
        <f>(D464*100/10860886)</f>
        <v>100</v>
      </c>
      <c r="F464" s="1170"/>
      <c r="G464" s="1040"/>
      <c r="H464" s="588"/>
      <c r="I464" s="1040"/>
      <c r="J464" s="591"/>
      <c r="K464" s="1086"/>
      <c r="L464" s="1171"/>
      <c r="M464" s="1040"/>
      <c r="N464" s="588"/>
      <c r="O464" s="1040"/>
      <c r="P464" s="591"/>
      <c r="Q464" s="1086"/>
      <c r="R464" s="1170"/>
    </row>
    <row r="465" spans="1:18" s="5" customFormat="1" ht="15">
      <c r="A465" s="936" t="s">
        <v>755</v>
      </c>
      <c r="B465" s="951"/>
      <c r="C465" s="953"/>
      <c r="D465" s="937"/>
      <c r="E465" s="1244"/>
      <c r="F465" s="1170"/>
      <c r="G465" s="588"/>
      <c r="H465" s="588"/>
      <c r="I465" s="1147"/>
      <c r="J465" s="591"/>
      <c r="K465" s="1086"/>
      <c r="L465" s="1171"/>
      <c r="M465" s="588"/>
      <c r="N465" s="588"/>
      <c r="O465" s="1147"/>
      <c r="P465" s="591"/>
      <c r="Q465" s="1086"/>
      <c r="R465" s="1170"/>
    </row>
    <row r="466" spans="1:18" s="5" customFormat="1" ht="15">
      <c r="A466" s="936" t="s">
        <v>756</v>
      </c>
      <c r="B466" s="951"/>
      <c r="C466" s="953"/>
      <c r="D466" s="937"/>
      <c r="E466" s="1244"/>
      <c r="F466" s="1170"/>
      <c r="G466" s="588"/>
      <c r="H466" s="588"/>
      <c r="I466" s="1147"/>
      <c r="J466" s="591"/>
      <c r="K466" s="1086"/>
      <c r="L466" s="1171"/>
      <c r="M466" s="588"/>
      <c r="N466" s="588"/>
      <c r="O466" s="1147"/>
      <c r="P466" s="591"/>
      <c r="Q466" s="1086"/>
      <c r="R466" s="1170"/>
    </row>
    <row r="467" spans="1:18" s="5" customFormat="1" ht="15">
      <c r="A467" s="1315" t="s">
        <v>1810</v>
      </c>
      <c r="B467" s="954"/>
      <c r="C467" s="955">
        <v>0</v>
      </c>
      <c r="D467" s="939">
        <v>790</v>
      </c>
      <c r="E467" s="1244">
        <f t="shared" ref="E467:E491" si="36">(D467*100/10860886)</f>
        <v>7.2738080484409835E-3</v>
      </c>
      <c r="F467" s="1170"/>
      <c r="G467" s="593"/>
      <c r="H467" s="1077"/>
      <c r="I467" s="1147"/>
      <c r="J467" s="608"/>
      <c r="K467" s="1086"/>
      <c r="L467" s="1171"/>
      <c r="M467" s="593"/>
      <c r="N467" s="1077"/>
      <c r="O467" s="1147"/>
      <c r="P467" s="608"/>
      <c r="Q467" s="1086"/>
      <c r="R467" s="1170"/>
    </row>
    <row r="468" spans="1:18" s="5" customFormat="1" ht="15">
      <c r="A468" s="1316" t="s">
        <v>757</v>
      </c>
      <c r="B468" s="954"/>
      <c r="C468" s="953">
        <v>0</v>
      </c>
      <c r="D468" s="939">
        <v>97890</v>
      </c>
      <c r="E468" s="1244">
        <f t="shared" si="36"/>
        <v>0.90130768336947831</v>
      </c>
      <c r="F468" s="1170"/>
      <c r="G468" s="593"/>
      <c r="H468" s="1077"/>
      <c r="I468" s="1147"/>
      <c r="J468" s="608"/>
      <c r="K468" s="1086"/>
      <c r="L468" s="1171"/>
      <c r="M468" s="593"/>
      <c r="N468" s="1077"/>
      <c r="O468" s="1147"/>
      <c r="P468" s="608"/>
      <c r="Q468" s="1086"/>
      <c r="R468" s="1170"/>
    </row>
    <row r="469" spans="1:18" s="5" customFormat="1" ht="15">
      <c r="A469" s="1274" t="s">
        <v>146</v>
      </c>
      <c r="B469" s="956"/>
      <c r="C469" s="955">
        <v>15.2</v>
      </c>
      <c r="D469" s="940">
        <v>104033</v>
      </c>
      <c r="E469" s="1244">
        <f t="shared" si="36"/>
        <v>0.95786844646007696</v>
      </c>
      <c r="F469" s="1170"/>
      <c r="G469" s="593"/>
      <c r="H469" s="593"/>
      <c r="I469" s="1147"/>
      <c r="J469" s="55"/>
      <c r="K469" s="1086"/>
      <c r="L469" s="1171"/>
      <c r="M469" s="593"/>
      <c r="N469" s="593"/>
      <c r="O469" s="1147"/>
      <c r="P469" s="55"/>
      <c r="Q469" s="1086"/>
      <c r="R469" s="1170"/>
    </row>
    <row r="470" spans="1:18" s="5" customFormat="1" ht="15">
      <c r="A470" s="1284" t="s">
        <v>1242</v>
      </c>
      <c r="B470" s="957" t="s">
        <v>46</v>
      </c>
      <c r="C470" s="958">
        <v>85.41</v>
      </c>
      <c r="D470" s="941">
        <v>143254</v>
      </c>
      <c r="E470" s="1244">
        <f t="shared" si="36"/>
        <v>1.3189899976852717</v>
      </c>
      <c r="F470" s="1170"/>
      <c r="G470" s="593"/>
      <c r="H470" s="593"/>
      <c r="I470" s="1147"/>
      <c r="J470" s="55"/>
      <c r="K470" s="1086"/>
      <c r="L470" s="1171"/>
      <c r="M470" s="593"/>
      <c r="N470" s="593"/>
      <c r="O470" s="1147"/>
      <c r="P470" s="55"/>
      <c r="Q470" s="1086"/>
      <c r="R470" s="1170"/>
    </row>
    <row r="471" spans="1:18" s="5" customFormat="1" ht="15">
      <c r="A471" s="1280" t="s">
        <v>1815</v>
      </c>
      <c r="B471" s="959"/>
      <c r="C471" s="960">
        <v>17.22</v>
      </c>
      <c r="D471" s="943">
        <v>207493</v>
      </c>
      <c r="E471" s="1244">
        <f t="shared" si="36"/>
        <v>1.9104610802470443</v>
      </c>
      <c r="F471" s="1170"/>
      <c r="G471" s="593"/>
      <c r="H471" s="593"/>
      <c r="I471" s="1147"/>
      <c r="J471" s="55"/>
      <c r="K471" s="1086"/>
      <c r="L471" s="1171"/>
      <c r="M471" s="593"/>
      <c r="N471" s="593"/>
      <c r="O471" s="1147"/>
      <c r="P471" s="55"/>
      <c r="Q471" s="1086"/>
      <c r="R471" s="1170"/>
    </row>
    <row r="472" spans="1:18" s="5" customFormat="1" ht="15">
      <c r="A472" s="1285" t="s">
        <v>917</v>
      </c>
      <c r="B472" s="961"/>
      <c r="C472" s="955">
        <v>15.7</v>
      </c>
      <c r="D472" s="162">
        <v>211537</v>
      </c>
      <c r="E472" s="1244">
        <f t="shared" si="36"/>
        <v>1.947695611573494</v>
      </c>
      <c r="F472" s="1170"/>
      <c r="G472" s="1013"/>
      <c r="H472" s="1077"/>
      <c r="I472" s="1147"/>
      <c r="J472" s="55"/>
      <c r="K472" s="1086"/>
      <c r="L472" s="1171"/>
      <c r="M472" s="1013"/>
      <c r="N472" s="1077"/>
      <c r="O472" s="1147"/>
      <c r="P472" s="55"/>
      <c r="Q472" s="1086"/>
      <c r="R472" s="1170"/>
    </row>
    <row r="473" spans="1:18" s="5" customFormat="1" ht="15">
      <c r="A473" s="1280" t="s">
        <v>1814</v>
      </c>
      <c r="B473" s="957"/>
      <c r="C473" s="962">
        <v>6.54</v>
      </c>
      <c r="D473" s="980">
        <v>228793</v>
      </c>
      <c r="E473" s="1244">
        <f t="shared" si="36"/>
        <v>2.1065776769961495</v>
      </c>
      <c r="F473" s="1170"/>
      <c r="G473" s="1013"/>
      <c r="H473" s="1077"/>
      <c r="I473" s="1147"/>
      <c r="J473" s="55"/>
      <c r="K473" s="1086"/>
      <c r="L473" s="1171"/>
      <c r="M473" s="1013"/>
      <c r="N473" s="1077"/>
      <c r="O473" s="1147"/>
      <c r="P473" s="55"/>
      <c r="Q473" s="1086"/>
      <c r="R473" s="1170"/>
    </row>
    <row r="474" spans="1:18" s="5" customFormat="1" ht="15">
      <c r="A474" s="1284" t="s">
        <v>1806</v>
      </c>
      <c r="B474" s="963" t="s">
        <v>46</v>
      </c>
      <c r="C474" s="955">
        <v>12.31</v>
      </c>
      <c r="D474" s="940">
        <v>279019</v>
      </c>
      <c r="E474" s="1244">
        <f t="shared" si="36"/>
        <v>2.5690261365417149</v>
      </c>
      <c r="F474" s="1170"/>
      <c r="G474" s="593"/>
      <c r="H474" s="603"/>
      <c r="I474" s="1147"/>
      <c r="J474" s="55"/>
      <c r="K474" s="1086"/>
      <c r="L474" s="1171"/>
      <c r="M474" s="593"/>
      <c r="N474" s="603"/>
      <c r="O474" s="1147"/>
      <c r="P474" s="55"/>
      <c r="Q474" s="1086"/>
      <c r="R474" s="1170"/>
    </row>
    <row r="475" spans="1:18" s="5" customFormat="1" ht="15">
      <c r="A475" s="1280" t="s">
        <v>1817</v>
      </c>
      <c r="B475" s="965"/>
      <c r="C475" s="960">
        <v>7</v>
      </c>
      <c r="D475" s="943">
        <v>280593</v>
      </c>
      <c r="E475" s="1244">
        <f t="shared" si="36"/>
        <v>2.5835185085268364</v>
      </c>
      <c r="F475" s="1170"/>
      <c r="G475" s="593"/>
      <c r="H475" s="603"/>
      <c r="I475" s="1147"/>
      <c r="J475" s="55"/>
      <c r="K475" s="1086"/>
      <c r="L475" s="1171"/>
      <c r="M475" s="593"/>
      <c r="N475" s="603"/>
      <c r="O475" s="1147"/>
      <c r="P475" s="55"/>
      <c r="Q475" s="1086"/>
      <c r="R475" s="1170"/>
    </row>
    <row r="476" spans="1:18" s="5" customFormat="1" ht="15">
      <c r="A476" s="1280" t="s">
        <v>1849</v>
      </c>
      <c r="B476" s="964" t="s">
        <v>46</v>
      </c>
      <c r="C476" s="960">
        <v>5</v>
      </c>
      <c r="D476" s="945">
        <v>282403</v>
      </c>
      <c r="E476" s="1244">
        <f t="shared" ref="E476:E481" si="37">(D476*100/10860886)</f>
        <v>2.6001838155745305</v>
      </c>
      <c r="F476" s="1170"/>
      <c r="G476" s="593"/>
      <c r="H476" s="603"/>
      <c r="I476" s="1147"/>
      <c r="J476" s="55"/>
      <c r="K476" s="1086"/>
      <c r="L476" s="1171"/>
      <c r="M476" s="593"/>
      <c r="N476" s="603"/>
      <c r="O476" s="1147"/>
      <c r="P476" s="55"/>
      <c r="Q476" s="1086"/>
      <c r="R476" s="1170"/>
    </row>
    <row r="477" spans="1:18" s="5" customFormat="1" ht="15">
      <c r="A477" s="1280" t="s">
        <v>1818</v>
      </c>
      <c r="B477" s="963"/>
      <c r="C477" s="955">
        <v>19</v>
      </c>
      <c r="D477" s="162">
        <v>282886</v>
      </c>
      <c r="E477" s="1244">
        <f t="shared" si="37"/>
        <v>2.6046309665712357</v>
      </c>
      <c r="F477" s="1170"/>
      <c r="G477" s="56"/>
      <c r="H477" s="1077"/>
      <c r="I477" s="1147"/>
      <c r="J477" s="596"/>
      <c r="K477" s="1086"/>
      <c r="L477" s="1171"/>
      <c r="M477" s="56"/>
      <c r="N477" s="1077"/>
      <c r="O477" s="1147"/>
      <c r="P477" s="596"/>
      <c r="Q477" s="1086"/>
      <c r="R477" s="1170"/>
    </row>
    <row r="478" spans="1:18" s="5" customFormat="1" ht="15">
      <c r="A478" s="1299" t="s">
        <v>758</v>
      </c>
      <c r="B478" s="968"/>
      <c r="C478" s="953">
        <v>8</v>
      </c>
      <c r="D478" s="162">
        <v>289123</v>
      </c>
      <c r="E478" s="1244">
        <f t="shared" si="37"/>
        <v>2.6620572207460791</v>
      </c>
      <c r="F478" s="1170"/>
      <c r="G478" s="593"/>
      <c r="H478" s="593"/>
      <c r="I478" s="1147"/>
      <c r="J478" s="596"/>
      <c r="K478" s="1086"/>
      <c r="L478" s="1171"/>
      <c r="M478" s="593"/>
      <c r="N478" s="593"/>
      <c r="O478" s="1147"/>
      <c r="P478" s="596"/>
      <c r="Q478" s="1086"/>
      <c r="R478" s="1170"/>
    </row>
    <row r="479" spans="1:18" s="5" customFormat="1" ht="15">
      <c r="A479" s="1280" t="s">
        <v>1550</v>
      </c>
      <c r="B479" s="971"/>
      <c r="C479" s="955">
        <v>4</v>
      </c>
      <c r="D479" s="940">
        <v>331100</v>
      </c>
      <c r="E479" s="1244">
        <f t="shared" si="37"/>
        <v>3.0485542339731766</v>
      </c>
      <c r="F479" s="1170"/>
      <c r="G479" s="56"/>
      <c r="H479" s="603"/>
      <c r="I479" s="1147"/>
      <c r="J479" s="55"/>
      <c r="K479" s="1086"/>
      <c r="L479" s="1171"/>
      <c r="M479" s="56"/>
      <c r="N479" s="603"/>
      <c r="O479" s="1147"/>
      <c r="P479" s="55"/>
      <c r="Q479" s="1086"/>
      <c r="R479" s="1170"/>
    </row>
    <row r="480" spans="1:18" s="5" customFormat="1" ht="15">
      <c r="A480" s="1287" t="s">
        <v>1800</v>
      </c>
      <c r="B480" s="963"/>
      <c r="C480" s="955">
        <v>2.2000000000000002</v>
      </c>
      <c r="D480" s="947">
        <v>355865</v>
      </c>
      <c r="E480" s="1244">
        <f t="shared" si="37"/>
        <v>3.2765743052638614</v>
      </c>
      <c r="F480" s="1170"/>
      <c r="G480" s="1013"/>
      <c r="H480" s="1077"/>
      <c r="I480" s="1147"/>
      <c r="J480" s="55"/>
      <c r="K480" s="1086"/>
      <c r="L480" s="1171"/>
      <c r="M480" s="1013"/>
      <c r="N480" s="1077"/>
      <c r="O480" s="1147"/>
      <c r="P480" s="55"/>
      <c r="Q480" s="1086"/>
      <c r="R480" s="1170"/>
    </row>
    <row r="481" spans="1:18" s="5" customFormat="1" ht="15">
      <c r="A481" s="1291" t="s">
        <v>1816</v>
      </c>
      <c r="B481" s="964" t="s">
        <v>46</v>
      </c>
      <c r="C481" s="955">
        <v>2</v>
      </c>
      <c r="D481" s="162">
        <v>410651</v>
      </c>
      <c r="E481" s="1244">
        <f t="shared" si="37"/>
        <v>3.7810082897472639</v>
      </c>
      <c r="F481" s="1170"/>
      <c r="G481" s="593"/>
      <c r="H481" s="593"/>
      <c r="I481" s="1147"/>
      <c r="J481" s="55"/>
      <c r="K481" s="1086"/>
      <c r="L481" s="1171"/>
      <c r="M481" s="593"/>
      <c r="N481" s="593"/>
      <c r="O481" s="1147"/>
      <c r="P481" s="55"/>
      <c r="Q481" s="1086"/>
      <c r="R481" s="1170"/>
    </row>
    <row r="482" spans="1:18" s="5" customFormat="1" ht="15">
      <c r="A482" s="1280" t="s">
        <v>1808</v>
      </c>
      <c r="B482" s="957" t="s">
        <v>46</v>
      </c>
      <c r="C482" s="953">
        <v>24.4</v>
      </c>
      <c r="D482" s="940">
        <v>413983</v>
      </c>
      <c r="E482" s="1244">
        <f t="shared" si="36"/>
        <v>3.8116871864781565</v>
      </c>
      <c r="F482" s="1170"/>
      <c r="G482" s="56"/>
      <c r="H482" s="56"/>
      <c r="I482" s="1147"/>
      <c r="J482" s="596"/>
      <c r="K482" s="1086"/>
      <c r="L482" s="1171"/>
      <c r="M482" s="56"/>
      <c r="N482" s="56"/>
      <c r="O482" s="1147"/>
      <c r="P482" s="596"/>
      <c r="Q482" s="1086"/>
      <c r="R482" s="1170"/>
    </row>
    <row r="483" spans="1:18" s="5" customFormat="1" ht="15">
      <c r="A483" s="1317" t="s">
        <v>708</v>
      </c>
      <c r="B483" s="969"/>
      <c r="C483" s="953">
        <v>11.9</v>
      </c>
      <c r="D483" s="940">
        <v>604483</v>
      </c>
      <c r="E483" s="1244">
        <f t="shared" si="36"/>
        <v>5.5656877348680389</v>
      </c>
      <c r="F483" s="1170"/>
      <c r="G483" s="56"/>
      <c r="H483" s="603"/>
      <c r="I483" s="1147"/>
      <c r="J483" s="55"/>
      <c r="K483" s="1086"/>
      <c r="L483" s="1171"/>
      <c r="M483" s="56"/>
      <c r="N483" s="603"/>
      <c r="O483" s="1147"/>
      <c r="P483" s="55"/>
      <c r="Q483" s="1086"/>
      <c r="R483" s="1170"/>
    </row>
    <row r="484" spans="1:18" s="5" customFormat="1" ht="15">
      <c r="A484" s="1306" t="s">
        <v>1566</v>
      </c>
      <c r="B484" s="963"/>
      <c r="C484" s="970">
        <v>3.29</v>
      </c>
      <c r="D484" s="943">
        <v>793350</v>
      </c>
      <c r="E484" s="1244">
        <f t="shared" si="36"/>
        <v>7.304652677507157</v>
      </c>
      <c r="F484" s="1170"/>
      <c r="G484" s="56"/>
      <c r="H484" s="603"/>
      <c r="I484" s="1147"/>
      <c r="J484" s="55"/>
      <c r="K484" s="1086"/>
      <c r="L484" s="1171"/>
      <c r="M484" s="56"/>
      <c r="N484" s="603"/>
      <c r="O484" s="1147"/>
      <c r="P484" s="55"/>
      <c r="Q484" s="1086"/>
      <c r="R484" s="1170"/>
    </row>
    <row r="485" spans="1:18" s="5" customFormat="1" ht="15">
      <c r="A485" s="1292" t="s">
        <v>926</v>
      </c>
      <c r="B485" s="969" t="s">
        <v>46</v>
      </c>
      <c r="C485" s="970">
        <v>1.48</v>
      </c>
      <c r="D485" s="945">
        <v>968498</v>
      </c>
      <c r="E485" s="1244">
        <f t="shared" si="36"/>
        <v>8.9173019586063234</v>
      </c>
      <c r="F485" s="1170"/>
      <c r="G485" s="56"/>
      <c r="H485" s="603"/>
      <c r="I485" s="1147"/>
      <c r="J485" s="55"/>
      <c r="K485" s="1086"/>
      <c r="L485" s="1171"/>
      <c r="M485" s="56"/>
      <c r="N485" s="603"/>
      <c r="O485" s="1147"/>
      <c r="P485" s="55"/>
      <c r="Q485" s="1086"/>
      <c r="R485" s="1170"/>
    </row>
    <row r="486" spans="1:18" s="5" customFormat="1" ht="15">
      <c r="A486" s="1280" t="s">
        <v>1813</v>
      </c>
      <c r="B486" s="968"/>
      <c r="C486" s="970">
        <v>8.1769999999999996</v>
      </c>
      <c r="D486" s="945">
        <v>1025088</v>
      </c>
      <c r="E486" s="1244">
        <f t="shared" si="36"/>
        <v>9.4383460060256592</v>
      </c>
      <c r="F486" s="1170"/>
      <c r="G486" s="56"/>
      <c r="H486" s="603"/>
      <c r="I486" s="1147"/>
      <c r="J486" s="55"/>
      <c r="K486" s="1086"/>
      <c r="L486" s="1171"/>
      <c r="M486" s="56"/>
      <c r="N486" s="603"/>
      <c r="O486" s="1147"/>
      <c r="P486" s="55"/>
      <c r="Q486" s="1086"/>
      <c r="R486" s="1170"/>
    </row>
    <row r="487" spans="1:18" s="5" customFormat="1" ht="15">
      <c r="A487" s="1288" t="s">
        <v>1804</v>
      </c>
      <c r="B487" s="967"/>
      <c r="C487" s="970">
        <v>5</v>
      </c>
      <c r="D487" s="945">
        <v>1179304</v>
      </c>
      <c r="E487" s="1244">
        <f t="shared" si="36"/>
        <v>10.85826699589702</v>
      </c>
      <c r="F487" s="1170"/>
      <c r="G487" s="56"/>
      <c r="H487" s="603"/>
      <c r="I487" s="1147"/>
      <c r="J487" s="55"/>
      <c r="K487" s="1086"/>
      <c r="L487" s="1171"/>
      <c r="M487" s="56"/>
      <c r="N487" s="603"/>
      <c r="O487" s="1147"/>
      <c r="P487" s="55"/>
      <c r="Q487" s="1086"/>
      <c r="R487" s="1170"/>
    </row>
    <row r="488" spans="1:18" s="5" customFormat="1" ht="15">
      <c r="A488" s="1278" t="s">
        <v>1809</v>
      </c>
      <c r="B488" s="963" t="s">
        <v>46</v>
      </c>
      <c r="C488" s="970">
        <v>1.6559999999999999</v>
      </c>
      <c r="D488" s="943">
        <v>1208109</v>
      </c>
      <c r="E488" s="1244">
        <f t="shared" si="36"/>
        <v>11.123484769106314</v>
      </c>
      <c r="F488" s="1170"/>
      <c r="G488" s="56"/>
      <c r="H488" s="603"/>
      <c r="I488" s="1147"/>
      <c r="J488" s="55"/>
      <c r="K488" s="1086"/>
      <c r="L488" s="1171"/>
      <c r="M488" s="56"/>
      <c r="N488" s="603"/>
      <c r="O488" s="1147"/>
      <c r="P488" s="55"/>
      <c r="Q488" s="1086"/>
      <c r="R488" s="1170"/>
    </row>
    <row r="489" spans="1:18" s="5" customFormat="1" ht="15">
      <c r="A489" s="1284" t="s">
        <v>1501</v>
      </c>
      <c r="B489" s="969"/>
      <c r="C489" s="970">
        <v>2.25</v>
      </c>
      <c r="D489" s="945">
        <v>1209047</v>
      </c>
      <c r="E489" s="1244">
        <f t="shared" si="36"/>
        <v>11.132121265244843</v>
      </c>
      <c r="F489" s="1170"/>
      <c r="G489" s="56"/>
      <c r="H489" s="603"/>
      <c r="I489" s="1147"/>
      <c r="J489" s="55"/>
      <c r="K489" s="1086"/>
      <c r="L489" s="1171"/>
      <c r="M489" s="56"/>
      <c r="N489" s="603"/>
      <c r="O489" s="1147"/>
      <c r="P489" s="55"/>
      <c r="Q489" s="1086"/>
      <c r="R489" s="1170"/>
    </row>
    <row r="490" spans="1:18" s="5" customFormat="1" ht="15">
      <c r="A490" s="1280" t="s">
        <v>1812</v>
      </c>
      <c r="B490" s="969"/>
      <c r="C490" s="970">
        <v>3</v>
      </c>
      <c r="D490" s="943">
        <v>1316834</v>
      </c>
      <c r="E490" s="1244">
        <f t="shared" si="36"/>
        <v>12.124554110962954</v>
      </c>
      <c r="F490" s="1170"/>
      <c r="G490" s="56"/>
      <c r="H490" s="603"/>
      <c r="I490" s="1147"/>
      <c r="J490" s="55"/>
      <c r="K490" s="1086"/>
      <c r="L490" s="1171"/>
      <c r="M490" s="56"/>
      <c r="N490" s="603"/>
      <c r="O490" s="1147"/>
      <c r="P490" s="55"/>
      <c r="Q490" s="1086"/>
      <c r="R490" s="1170"/>
    </row>
    <row r="491" spans="1:18" s="5" customFormat="1" ht="15">
      <c r="A491" s="1288" t="s">
        <v>746</v>
      </c>
      <c r="B491" s="971"/>
      <c r="C491" s="972"/>
      <c r="D491" s="940">
        <v>10860886</v>
      </c>
      <c r="E491" s="1244">
        <f t="shared" si="36"/>
        <v>100</v>
      </c>
      <c r="F491" s="1170"/>
      <c r="G491" s="56"/>
      <c r="H491" s="603"/>
      <c r="I491" s="1147"/>
      <c r="J491" s="55"/>
      <c r="K491" s="1086"/>
      <c r="L491" s="1171"/>
      <c r="M491" s="56"/>
      <c r="N491" s="603"/>
      <c r="O491" s="1147"/>
      <c r="P491" s="55"/>
      <c r="Q491" s="1086"/>
      <c r="R491" s="1170"/>
    </row>
    <row r="492" spans="1:18" s="5" customFormat="1" ht="18.75">
      <c r="A492" s="100"/>
      <c r="B492" s="101"/>
      <c r="C492" s="101"/>
      <c r="D492" s="102"/>
      <c r="E492" s="67"/>
      <c r="G492" s="56"/>
      <c r="H492" s="103"/>
      <c r="I492" s="103"/>
      <c r="J492" s="55"/>
      <c r="K492" s="67"/>
      <c r="L492" s="7"/>
      <c r="M492" s="104"/>
      <c r="N492" s="105"/>
      <c r="O492" s="105"/>
      <c r="P492" s="106"/>
      <c r="Q492" s="67"/>
    </row>
    <row r="493" spans="1:18" s="5" customFormat="1" ht="18.75">
      <c r="A493" s="100"/>
      <c r="B493" s="1355" t="s">
        <v>1821</v>
      </c>
      <c r="C493" s="101"/>
      <c r="D493" s="102"/>
      <c r="E493" s="67"/>
      <c r="G493" s="56"/>
      <c r="H493" s="103"/>
      <c r="I493" s="103"/>
      <c r="J493" s="55"/>
      <c r="K493" s="67"/>
      <c r="L493" s="7"/>
      <c r="M493" s="104"/>
      <c r="N493" s="105"/>
      <c r="O493" s="105"/>
      <c r="P493" s="106"/>
      <c r="Q493" s="67"/>
    </row>
    <row r="494" spans="1:18" s="5" customFormat="1" ht="18.75">
      <c r="A494" s="100"/>
      <c r="B494" s="627" t="s">
        <v>1645</v>
      </c>
      <c r="C494" s="101"/>
      <c r="D494" s="102"/>
      <c r="E494" s="67"/>
      <c r="G494" s="56"/>
      <c r="H494" s="103"/>
      <c r="I494" s="103"/>
      <c r="J494" s="55"/>
      <c r="K494" s="67"/>
      <c r="L494" s="7"/>
      <c r="M494" s="104"/>
      <c r="N494" s="105"/>
      <c r="O494" s="105"/>
      <c r="P494" s="106"/>
      <c r="Q494" s="67"/>
    </row>
    <row r="495" spans="1:18" s="5" customFormat="1" ht="18.75">
      <c r="A495" s="100"/>
      <c r="B495" s="64" t="s">
        <v>1859</v>
      </c>
      <c r="C495" s="101"/>
      <c r="D495" s="102"/>
      <c r="E495" s="67"/>
      <c r="G495" s="56"/>
      <c r="H495" s="103"/>
      <c r="I495" s="103"/>
      <c r="J495" s="55"/>
      <c r="K495" s="67"/>
      <c r="L495" s="7"/>
      <c r="M495" s="104"/>
      <c r="N495" s="105"/>
      <c r="O495" s="105"/>
      <c r="P495" s="106"/>
      <c r="Q495" s="67"/>
    </row>
    <row r="496" spans="1:18">
      <c r="A496" s="107"/>
    </row>
    <row r="497" spans="1:1">
      <c r="A497" s="107"/>
    </row>
  </sheetData>
  <sortState ref="G122:J123">
    <sortCondition ref="J122:J123"/>
  </sortState>
  <mergeCells count="39">
    <mergeCell ref="D202:E202"/>
    <mergeCell ref="P303:Q303"/>
    <mergeCell ref="A2:Q6"/>
    <mergeCell ref="D12:E12"/>
    <mergeCell ref="J12:K12"/>
    <mergeCell ref="P12:Q12"/>
    <mergeCell ref="J121:K121"/>
    <mergeCell ref="P121:Q121"/>
    <mergeCell ref="D121:E121"/>
    <mergeCell ref="D46:E46"/>
    <mergeCell ref="J46:K46"/>
    <mergeCell ref="P46:Q46"/>
    <mergeCell ref="D80:E80"/>
    <mergeCell ref="J80:K80"/>
    <mergeCell ref="D368:E368"/>
    <mergeCell ref="J368:K368"/>
    <mergeCell ref="P80:Q80"/>
    <mergeCell ref="D331:E331"/>
    <mergeCell ref="J331:K331"/>
    <mergeCell ref="P331:Q331"/>
    <mergeCell ref="D168:E168"/>
    <mergeCell ref="J168:K168"/>
    <mergeCell ref="P168:Q168"/>
    <mergeCell ref="J202:K202"/>
    <mergeCell ref="D303:E303"/>
    <mergeCell ref="J303:K303"/>
    <mergeCell ref="P202:Q202"/>
    <mergeCell ref="D231:E231"/>
    <mergeCell ref="J231:K231"/>
    <mergeCell ref="P231:Q231"/>
    <mergeCell ref="A463:E463"/>
    <mergeCell ref="G463:K463"/>
    <mergeCell ref="M463:Q463"/>
    <mergeCell ref="D398:E398"/>
    <mergeCell ref="J398:K398"/>
    <mergeCell ref="P398:Q398"/>
    <mergeCell ref="A435:E435"/>
    <mergeCell ref="G435:K435"/>
    <mergeCell ref="M435:Q435"/>
  </mergeCells>
  <hyperlinks>
    <hyperlink ref="A330" r:id="rId1"/>
    <hyperlink ref="A397" r:id="rId2"/>
    <hyperlink ref="G367" r:id="rId3"/>
    <hyperlink ref="M367" r:id="rId4" display="http://www.apple.com/trailers/paramount/startrek/"/>
    <hyperlink ref="A367" r:id="rId5"/>
    <hyperlink ref="G302" r:id="rId6"/>
    <hyperlink ref="G167" r:id="rId7"/>
    <hyperlink ref="M167" r:id="rId8"/>
    <hyperlink ref="A120" r:id="rId9"/>
    <hyperlink ref="A167" r:id="rId10"/>
    <hyperlink ref="M120" r:id="rId11"/>
    <hyperlink ref="A11" r:id="rId12"/>
    <hyperlink ref="G120" r:id="rId13"/>
    <hyperlink ref="G201" r:id="rId14"/>
    <hyperlink ref="A230" r:id="rId15"/>
    <hyperlink ref="A201" r:id="rId16"/>
    <hyperlink ref="M201" r:id="rId17"/>
    <hyperlink ref="M302" r:id="rId18"/>
    <hyperlink ref="G330" r:id="rId19"/>
    <hyperlink ref="G230" r:id="rId20"/>
    <hyperlink ref="M307" r:id="rId21"/>
    <hyperlink ref="A302" r:id="rId22"/>
    <hyperlink ref="G397" r:id="rId23"/>
    <hyperlink ref="A488" r:id="rId24" display="BZIP2 1.0 (2008) -9 Julian Seward"/>
    <hyperlink ref="A456" r:id="rId25" display="BZIP2 1.0 (2008) -9 Julian Seward"/>
    <hyperlink ref="G457" r:id="rId26" display="BZIP2 1.0 (2008) -9 Julian Seward"/>
    <hyperlink ref="M458" r:id="rId27" display="BZIP2 1.0 (2008) -9 Julian Seward"/>
    <hyperlink ref="A418" r:id="rId28" display="BZIP2 1.0 (2008) -9 Julian Seward"/>
    <hyperlink ref="G419" r:id="rId29" display="BZIP2 1.0 (2008) -9 Julian Seward"/>
    <hyperlink ref="A386" r:id="rId30" display="BZIP2 1.0 (2008) -9 Julian Seward"/>
    <hyperlink ref="G391" r:id="rId31" display="BZIP2 1.0 (2008) -9 Julian Seward"/>
    <hyperlink ref="M383" r:id="rId32" display="BZIP2 1.0 (2008) -9 Julian Seward"/>
    <hyperlink ref="A351" r:id="rId33" display="BZIP2 1.0 (2008) -9 Julian Seward"/>
    <hyperlink ref="G351" r:id="rId34" display="BZIP2 1.0 (2008) -9 Julian Seward"/>
    <hyperlink ref="A320" r:id="rId35" display="BZIP2 1.0 (2008) -9 Julian Seward"/>
    <hyperlink ref="G318" r:id="rId36" display="BZIP2 1.0 (2008) -9 Julian Seward"/>
    <hyperlink ref="M321" r:id="rId37" display="BZIP2 1.0 (2008) -9 Julian Seward"/>
    <hyperlink ref="A253" r:id="rId38" display="BZIP2 1.0 (2008) -9 Julian Seward"/>
    <hyperlink ref="G252" r:id="rId39" display="BZIP2 1.0 (2008) -9 Julian Seward"/>
    <hyperlink ref="A224" r:id="rId40" display="BZIP2 1.0 (2008) -9 Julian Seward"/>
    <hyperlink ref="G225" r:id="rId41" display="BZIP2 1.0 (2008) -9 Julian Seward"/>
    <hyperlink ref="M225" r:id="rId42" display="BZIP2 1.0 (2008) -9 Julian Seward"/>
    <hyperlink ref="A189" r:id="rId43" display="BZIP2 1.0 (2008) -9 Julian Seward"/>
    <hyperlink ref="G186" r:id="rId44" display="BZIP2 1.0 (2008) -9 Julian Seward"/>
    <hyperlink ref="M187" r:id="rId45" display="BZIP2 1.0 (2008) -9 Julian Seward"/>
    <hyperlink ref="A143" r:id="rId46" display="BZIP2 1.0 (2008) -9 Julian Seward"/>
    <hyperlink ref="G146" r:id="rId47" display="BZIP2 1.0 (2008) -9 Julian Seward"/>
    <hyperlink ref="M146" r:id="rId48" display="BZIP2 1.0 (2008) -9 Julian Seward"/>
    <hyperlink ref="A33" r:id="rId49" display="BZIP2 1.0 (2008) -9 Julian Seward"/>
    <hyperlink ref="G33" r:id="rId50" display="BZIP2 1.0 (2008) -9 Julian Seward"/>
    <hyperlink ref="M32" r:id="rId51" display="BZIP2 1.0 (2008) -9 Julian Seward"/>
    <hyperlink ref="A27" r:id="rId52"/>
    <hyperlink ref="G26" r:id="rId53"/>
    <hyperlink ref="M28" r:id="rId54"/>
    <hyperlink ref="M142" r:id="rId55"/>
    <hyperlink ref="G127" r:id="rId56"/>
    <hyperlink ref="A136" r:id="rId57"/>
    <hyperlink ref="A179" r:id="rId58"/>
    <hyperlink ref="G184" r:id="rId59"/>
    <hyperlink ref="M191" r:id="rId60"/>
    <hyperlink ref="M223" r:id="rId61"/>
    <hyperlink ref="G218" r:id="rId62"/>
    <hyperlink ref="A222" r:id="rId63"/>
    <hyperlink ref="A250" r:id="rId64"/>
    <hyperlink ref="G244" r:id="rId65"/>
    <hyperlink ref="M326" r:id="rId66"/>
    <hyperlink ref="G317" r:id="rId67"/>
    <hyperlink ref="A322" r:id="rId68"/>
    <hyperlink ref="A353" r:id="rId69"/>
    <hyperlink ref="G346" r:id="rId70"/>
    <hyperlink ref="M387" r:id="rId71"/>
    <hyperlink ref="G377" r:id="rId72"/>
    <hyperlink ref="A389" r:id="rId73"/>
    <hyperlink ref="A422" r:id="rId74"/>
    <hyperlink ref="G417" r:id="rId75"/>
    <hyperlink ref="M441" r:id="rId76"/>
    <hyperlink ref="G446" r:id="rId77"/>
    <hyperlink ref="A444" r:id="rId78"/>
    <hyperlink ref="A479" r:id="rId79"/>
    <hyperlink ref="A446" r:id="rId80" display="ZCM 0.60d -m7 -r -s (2012) N.F. Antonio"/>
    <hyperlink ref="G452" r:id="rId81" display="ZCM 0.60d -m7 -r -s (2012) N.F. Antonio"/>
    <hyperlink ref="M452" r:id="rId82" display="ZCM 0.60d -m7 -r -s (2012) N.F. Antonio"/>
    <hyperlink ref="A480" r:id="rId83" display="ZCM 0.60d -m7 -r -s (2012) N.F. Antonio"/>
    <hyperlink ref="A405" r:id="rId84" display="ZCM 0.60d -m7 -r -s (2012) N.F. Antonio"/>
    <hyperlink ref="G406" r:id="rId85" display="ZCM 0.60d -m7 -r -s (2012) N.F. Antonio"/>
    <hyperlink ref="A382" r:id="rId86" display="ZCM 0.60d -m7 -r -s (2012) N.F. Antonio"/>
    <hyperlink ref="G375" r:id="rId87" display="ZCM 0.60d -m7 -r -s (2012) N.F. Antonio"/>
    <hyperlink ref="M384" r:id="rId88" display="ZCM 0.60d -m7 -r -s (2012) N.F. Antonio"/>
    <hyperlink ref="G343" r:id="rId89" display="ZCM 0.60d -m7 -r -s (2012) N.F. Antonio"/>
    <hyperlink ref="A344" r:id="rId90" display="ZCM 0.60d -m7 -r -s (2012) N.F. Antonio"/>
    <hyperlink ref="G324" r:id="rId91" display="ZCM 0.60d -m7 -r -s (2012) N.F. Antonio"/>
    <hyperlink ref="M315" r:id="rId92" display="ZCM 0.60d -m7 -r -s (2012) N.F. Antonio"/>
    <hyperlink ref="A318" r:id="rId93" display="ZCM 0.60d -m7 -r -s (2012) N.F. Antonio"/>
    <hyperlink ref="A238" r:id="rId94" display="ZCM 0.60d -m7 -r -s (2012) N.F. Antonio"/>
    <hyperlink ref="G236" r:id="rId95" display="ZCM 0.60d -m7 -r -s (2012) N.F. Antonio"/>
    <hyperlink ref="M209" r:id="rId96" display="ZCM 0.60d -m7 -r -s (2012) N.F. Antonio"/>
    <hyperlink ref="G211" r:id="rId97" display="ZCM 0.60d -m7 -r -s (2012) N.F. Antonio"/>
    <hyperlink ref="A208" r:id="rId98" display="ZCM 0.60d -m7 -r -s (2012) N.F. Antonio"/>
    <hyperlink ref="A176" r:id="rId99" display="ZCM 0.60d -m7 -r -s (2012) N.F. Antonio"/>
    <hyperlink ref="G176" r:id="rId100" display="ZCM 0.60d -m7 -r -s (2012) N.F. Antonio"/>
    <hyperlink ref="M175" r:id="rId101" display="ZCM 0.60d -m7 -r -s (2012) N.F. Antonio"/>
    <hyperlink ref="M141" r:id="rId102" display="ZCM 0.60d -m7 -r -s (2012) N.F. Antonio"/>
    <hyperlink ref="G141" r:id="rId103" display="ZCM 0.60d -m7 -r -s (2012) N.F. Antonio"/>
    <hyperlink ref="A131" r:id="rId104" display="ZCM 0.60d -m7 -r -s (2012) N.F. Antonio"/>
    <hyperlink ref="M20" r:id="rId105" display="ZCM 0.60d -m7 -r -s (2012) N.F. Antonio"/>
    <hyperlink ref="G22" r:id="rId106" display="ZCM 0.60d -m7 -r -s (2012) N.F. Antonio"/>
    <hyperlink ref="A20" r:id="rId107" display="ZCM 0.60d -m7 -r -s (2012) N.F. Antonio"/>
    <hyperlink ref="A28" r:id="rId108" display="WinRar x64 v3.92 (4096 KB dictionary + Delta) Eugene Roshal"/>
    <hyperlink ref="G28" r:id="rId109" display="WinRar x64 v3.92 (4096 KB dictionary + Delta) Eugene Roshal"/>
    <hyperlink ref="M35" r:id="rId110" display="WinRar x64 v3.92 (4096 KB dictionary + Delta) Eugene Roshal"/>
    <hyperlink ref="M148" r:id="rId111" display="WinRar x64 v3.92 (4096 KB dictionary + Delta) Eugene Roshal"/>
    <hyperlink ref="G151" r:id="rId112" display="WinRar x64 v3.92 (4096 KB dictionary + Delta) Eugene Roshal"/>
    <hyperlink ref="A146" r:id="rId113" display="WinRar x64 v3.92 (4096 KB dictionary + Delta) Eugene Roshal"/>
    <hyperlink ref="A186" r:id="rId114" display="WinRar x64 v3.92 (4096 KB dictionary + Delta) Eugene Roshal"/>
    <hyperlink ref="G188" r:id="rId115" display="WinRar x64 v3.92 (4096 KB dictionary + Delta) Eugene Roshal"/>
    <hyperlink ref="M181" r:id="rId116" display="WinRar x64 v3.92 (4096 KB dictionary + Delta) Eugene Roshal"/>
    <hyperlink ref="M216" r:id="rId117" display="WinRar x64 v3.92 (4096 KB dictionary + Delta) Eugene Roshal"/>
    <hyperlink ref="G219" r:id="rId118" display="WinRar x64 v3.92 (4096 KB dictionary + Delta) Eugene Roshal"/>
    <hyperlink ref="A218" r:id="rId119" display="WinRar x64 v3.92 (4096 KB dictionary + Delta) Eugene Roshal"/>
    <hyperlink ref="G248" r:id="rId120" display="WinRar x64 v3.92 (4096 KB dictionary + Delta) Eugene Roshal"/>
    <hyperlink ref="A245" r:id="rId121" display="WinRar x64 v3.92 (4096 KB dictionary + Delta) Eugene Roshal"/>
    <hyperlink ref="A319" r:id="rId122" display="WinRar x64 v3.92 (4096 KB dictionary + Delta) Eugene Roshal"/>
    <hyperlink ref="G320" r:id="rId123" display="WinRar x64 v3.92 (4096 KB dictionary + Delta) Eugene Roshal"/>
    <hyperlink ref="M319" r:id="rId124" display="WinRar x64 v3.92 (4096 KB dictionary + Delta) Eugene Roshal"/>
    <hyperlink ref="G345" r:id="rId125" display="WinRar x64 v3.92 (4096 KB dictionary + Delta) Eugene Roshal"/>
    <hyperlink ref="A352" r:id="rId126" display="WinRar x64 v3.92 (4096 KB dictionary + Delta) Eugene Roshal"/>
    <hyperlink ref="A384" r:id="rId127" display="WinRar x64 v3.92 (4096 KB dictionary + Delta) Eugene Roshal"/>
    <hyperlink ref="G385" r:id="rId128" display="WinRar x64 v3.92 (4096 KB dictionary + Delta) Eugene Roshal"/>
    <hyperlink ref="M389" r:id="rId129" display="WinRar x64 v3.92 (4096 KB dictionary + Delta) Eugene Roshal"/>
    <hyperlink ref="G421" r:id="rId130" display="WinRar x64 v3.92 (4096 KB dictionary + Delta) Eugene Roshal"/>
    <hyperlink ref="A416" r:id="rId131" display="WinRar x64 v3.92 (4096 KB dictionary + Delta) Eugene Roshal"/>
    <hyperlink ref="A452" r:id="rId132" display="WinRar x64 v3.92 (4096 KB dictionary + Delta) Eugene Roshal"/>
    <hyperlink ref="G440" r:id="rId133" display="WinRar x64 v3.92 (4096 KB dictionary + Delta) Eugene Roshal"/>
    <hyperlink ref="M445" r:id="rId134" display="WinRar x64 v3.92 (4096 KB dictionary + Delta) Eugene Roshal"/>
    <hyperlink ref="A490" r:id="rId135" display="WinRar x64 v3.92 (4096 KB dictionary + Delta) Eugene Roshal"/>
    <hyperlink ref="A29" r:id="rId136" display="DGCA 1.00 - 1.10e (2004-2006) Shin-ichi Tsuruta"/>
    <hyperlink ref="G31" r:id="rId137" display="DGCA 1.00 - 1.10e (2004-2006) Shin-ichi Tsuruta"/>
    <hyperlink ref="M29" r:id="rId138" display="DGCA 1.00 - 1.10e (2004-2006) Shin-ichi Tsuruta"/>
    <hyperlink ref="M133" r:id="rId139" display="DGCA 1.00 - 1.10e (2004-2006) Shin-ichi Tsuruta"/>
    <hyperlink ref="G139" r:id="rId140" display="DGCA 1.00 - 1.10e (2004-2006) Shin-ichi Tsuruta"/>
    <hyperlink ref="A132" r:id="rId141" display="DGCA 1.00 - 1.10e (2004-2006) Shin-ichi Tsuruta"/>
    <hyperlink ref="A185" r:id="rId142" display="DGCA 1.00 - 1.10e (2004-2006) Shin-ichi Tsuruta"/>
    <hyperlink ref="G187" r:id="rId143" display="DGCA 1.00 - 1.10e (2004-2006) Shin-ichi Tsuruta"/>
    <hyperlink ref="M183" r:id="rId144" display="DGCA 1.00 - 1.10e (2004-2006) Shin-ichi Tsuruta"/>
    <hyperlink ref="M219" r:id="rId145" display="DGCA 1.00 - 1.10e (2004-2006) Shin-ichi Tsuruta"/>
    <hyperlink ref="G223" r:id="rId146" display="DGCA 1.00 - 1.10e (2004-2006) Shin-ichi Tsuruta"/>
    <hyperlink ref="A217" r:id="rId147" display="DGCA 1.00 - 1.10e (2004-2006) Shin-ichi Tsuruta"/>
    <hyperlink ref="A251" r:id="rId148" display="DGCA 1.00 - 1.10e (2004-2006) Shin-ichi Tsuruta"/>
    <hyperlink ref="G241" r:id="rId149" display="DGCA 1.00 - 1.10e (2004-2006) Shin-ichi Tsuruta"/>
    <hyperlink ref="M312" r:id="rId150" display="DGCA 1.00 - 1.10e (2004-2006) Shin-ichi Tsuruta"/>
    <hyperlink ref="G312" r:id="rId151" display="DGCA 1.00 - 1.10e (2004-2006) Shin-ichi Tsuruta"/>
    <hyperlink ref="A313" r:id="rId152" display="DGCA 1.00 - 1.10e (2004-2006) Shin-ichi Tsuruta"/>
    <hyperlink ref="A340" r:id="rId153" display="DGCA 1.00 - 1.10e (2004-2006) Shin-ichi Tsuruta"/>
    <hyperlink ref="G341" r:id="rId154" display="DGCA 1.00 - 1.10e (2004-2006) Shin-ichi Tsuruta"/>
    <hyperlink ref="M379" r:id="rId155" display="DGCA 1.00 - 1.10e (2004-2006) Shin-ichi Tsuruta"/>
    <hyperlink ref="G382" r:id="rId156" display="DGCA 1.00 - 1.10e (2004-2006) Shin-ichi Tsuruta"/>
    <hyperlink ref="A380" r:id="rId157" display="DGCA 1.00 - 1.10e (2004-2006) Shin-ichi Tsuruta"/>
    <hyperlink ref="A409" r:id="rId158" display="DGCA 1.00 - 1.10e (2004-2006) Shin-ichi Tsuruta"/>
    <hyperlink ref="G413" r:id="rId159" display="DGCA 1.00 - 1.10e (2004-2006) Shin-ichi Tsuruta"/>
    <hyperlink ref="M439" r:id="rId160" display="DGCA 1.00 - 1.10e (2004-2006) Shin-ichi Tsuruta"/>
    <hyperlink ref="A439" r:id="rId161" display="DGCA 1.00 - 1.10e (2004-2006) Shin-ichi Tsuruta"/>
    <hyperlink ref="G437" r:id="rId162" display="DGCA 1.00 - 1.10e (2004-2006) Shin-ichi Tsuruta"/>
    <hyperlink ref="A486" r:id="rId163" display="DGCA 1.00 - 1.10e (2004-2006) Shin-ichi Tsuruta"/>
    <hyperlink ref="A25" r:id="rId164" display="7-Zip x64 9.1.7 (0=delta:4 1=lzma:lp1:d96:fb273) Igor Pavlov"/>
    <hyperlink ref="G24" r:id="rId165" display="7-Zip x64 9.1.7 (0=delta:4 1=lzma:lp1:d96:fb273) Igor Pavlov"/>
    <hyperlink ref="M25" r:id="rId166" display="7-Zip x64 9.1.7 (0=delta:4 1=lzma:lp1:d96:fb273) Igor Pavlov"/>
    <hyperlink ref="M144" r:id="rId167" display="7-Zip x64 9.1.7 (0=delta:4 1=lzma:lp1:d96:fb273) Igor Pavlov"/>
    <hyperlink ref="G150" r:id="rId168" display="7-Zip x64 9.1.7 (0=delta:4 1=lzma:lp1:d96:fb273) Igor Pavlov"/>
    <hyperlink ref="A137" r:id="rId169" display="7-Zip x64 9.1.7 (0=delta:4 1=lzma:lp1:d96:fb273) Igor Pavlov"/>
    <hyperlink ref="A181" r:id="rId170" display="7-Zip x64 9.1.7 (0=delta:4 1=lzma:lp1:d96:fb273) Igor Pavlov"/>
    <hyperlink ref="G183" r:id="rId171" display="7-Zip x64 9.1.7 (0=delta:4 1=lzma:lp1:d96:fb273) Igor Pavlov"/>
    <hyperlink ref="M179" r:id="rId172" display="7-Zip x64 9.1.7 (0=delta:4 1=lzma:lp1:d96:fb273) Igor Pavlov"/>
    <hyperlink ref="M213" r:id="rId173" display="7-Zip x64 9.1.7 (0=delta:4 1=lzma:lp1:d96:fb273) Igor Pavlov"/>
    <hyperlink ref="G208" r:id="rId174" display="7-Zip x64 9.1.7 (0=delta:4 1=lzma:lp1:d96:fb273) Igor Pavlov"/>
    <hyperlink ref="A214" r:id="rId175" display="7-Zip x64 9.1.7 (0=delta:4 1=lzma:lp1:d96:fb273) Igor Pavlov"/>
    <hyperlink ref="A239" r:id="rId176" display="7-Zip x64 9.1.7 (0=delta:4 1=lzma:lp1:d96:fb273) Igor Pavlov"/>
    <hyperlink ref="G238" r:id="rId177" display="7-Zip x64 9.1.7 (0=delta:4 1=lzma:lp1:d96:fb273) Igor Pavlov"/>
    <hyperlink ref="M322" r:id="rId178" display="7-Zip x64 9.1.7 (0=delta:4 1=lzma:lp1:d96:fb273) Igor Pavlov"/>
    <hyperlink ref="G321" r:id="rId179" display="7-Zip x64 9.1.7 (0=delta:4 1=lzma:lp1:d96:fb273) Igor Pavlov"/>
    <hyperlink ref="A324" r:id="rId180" display="7-Zip x64 9.1.7 (0=delta:4 1=lzma:lp1:d96:fb273) Igor Pavlov"/>
    <hyperlink ref="A348" r:id="rId181" display="7-Zip x64 9.1.7 (0=delta:4 1=lzma:lp1:d96:fb273) Igor Pavlov"/>
    <hyperlink ref="G347" r:id="rId182" display="7-Zip x64 9.1.7 (0=delta:4 1=lzma:lp1:d96:fb273) Igor Pavlov"/>
    <hyperlink ref="M388" r:id="rId183" display="7-Zip x64 9.1.7 (0=delta:4 1=lzma:lp1:d96:fb273) Igor Pavlov"/>
    <hyperlink ref="G386" r:id="rId184" display="7-Zip x64 9.1.7 (0=delta:4 1=lzma:lp1:d96:fb273) Igor Pavlov"/>
    <hyperlink ref="A385" r:id="rId185" display="7-Zip x64 9.1.7 (0=delta:4 1=lzma:lp1:d96:fb273) Igor Pavlov"/>
    <hyperlink ref="A414" r:id="rId186" display="7-Zip x64 9.1.7 (0=delta:4 1=lzma:lp1:d96:fb273) Igor Pavlov"/>
    <hyperlink ref="G415" r:id="rId187" display="7-Zip x64 9.1.7 (0=delta:4 1=lzma:lp1:d96:fb273) Igor Pavlov"/>
    <hyperlink ref="M442" r:id="rId188" display="7-Zip x64 9.1.7 (0=delta:4 1=lzma:lp1:d96:fb273) Igor Pavlov"/>
    <hyperlink ref="G443" r:id="rId189" display="7-Zip x64 9.1.7 (0=delta:4 1=lzma:lp1:d96:fb273) Igor Pavlov"/>
    <hyperlink ref="A442" r:id="rId190" display="7-Zip x64 9.1.7 (0=delta:4 1=lzma:lp1:d96:fb273) Igor Pavlov"/>
    <hyperlink ref="A476" r:id="rId191" display="7-Zip x64 9.1.7 (0=delta:4 1=lzma:lp1:d96:fb273) Igor Pavlov"/>
    <hyperlink ref="A16" r:id="rId192" display="NanoZip 0.09α -cc -m2g (04.11.2011) Sami Runsas"/>
    <hyperlink ref="G18" r:id="rId193" display="NanoZip 0.09α -cc -m2g (04.11.2011) Sami Runsas"/>
    <hyperlink ref="M16" r:id="rId194" display="NanoZip 0.09α -cc -m2g (04.11.2011) Sami Runsas"/>
    <hyperlink ref="M130" r:id="rId195" display="NanoZip 0.09α -cc -m2g (04.11.2011) Sami Runsas"/>
    <hyperlink ref="G134" r:id="rId196" display="NanoZip 0.09α -cc -m2g (04.11.2011) Sami Runsas"/>
    <hyperlink ref="A127" r:id="rId197" display="NanoZip 0.09α -cc -m2g (04.11.2011) Sami Runsas"/>
    <hyperlink ref="A174" r:id="rId198" display="NanoZip 0.09α -cc -m2g (04.11.2011) Sami Runsas"/>
    <hyperlink ref="G174" r:id="rId199" display="NanoZip 0.09α -cc -m2g (04.11.2011) Sami Runsas"/>
    <hyperlink ref="M171" r:id="rId200" display="NanoZip 0.09α -cc -m2g (04.11.2011) Sami Runsas"/>
    <hyperlink ref="M207" r:id="rId201" display="NanoZip 0.09α -cc -m2g (04.11.2011) Sami Runsas"/>
    <hyperlink ref="G204" r:id="rId202" display="NanoZip 0.09α -cc -m2g (04.11.2011) Sami Runsas"/>
    <hyperlink ref="A206" r:id="rId203" display="NanoZip 0.09α -cc -m2g (04.11.2011) Sami Runsas"/>
    <hyperlink ref="A234" r:id="rId204" display="NanoZip 0.09α -cc -m2g (04.11.2011) Sami Runsas"/>
    <hyperlink ref="G233" r:id="rId205" display="NanoZip 0.09α -cc -m2g (04.11.2011) Sami Runsas"/>
    <hyperlink ref="M306" r:id="rId206" display="NanoZip 0.09α -cc -m2g (04.11.2011) Sami Runsas"/>
    <hyperlink ref="G306" r:id="rId207" display="NanoZip 0.09α -cc -m2g (04.11.2011) Sami Runsas"/>
    <hyperlink ref="A307" r:id="rId208" display="NanoZip 0.09α -cc -m2g (04.11.2011) Sami Runsas"/>
    <hyperlink ref="G332" r:id="rId209" display="NanoZip 0.09α -cc -m2g (04.11.2011) Sami Runsas"/>
    <hyperlink ref="A337" r:id="rId210" display="NanoZip 0.09α -cc -m2g (04.11.2011) Sami Runsas"/>
    <hyperlink ref="G373" r:id="rId211" display="NanoZip 0.09α -cc -m2g (04.11.2011) Sami Runsas"/>
    <hyperlink ref="A373" r:id="rId212" display="NanoZip 0.09α -cc -m2g (04.11.2011) Sami Runsas"/>
    <hyperlink ref="M372" r:id="rId213" display="NanoZip 0.09α -cc -m2g (04.11.2011) Sami Runsas"/>
    <hyperlink ref="G403" r:id="rId214" display="NanoZip 0.09α -cc -m2g (04.11.2011) Sami Runsas"/>
    <hyperlink ref="A401" r:id="rId215" display="NanoZip 0.09α -cc -m2g (04.11.2011) Sami Runsas"/>
    <hyperlink ref="M440" r:id="rId216" display="NanoZip 0.09α -cc -m2g (04.11.2011) Sami Runsas"/>
    <hyperlink ref="G442" r:id="rId217" display="NanoZip 0.09α -cc -m2g (04.11.2011) Sami Runsas"/>
    <hyperlink ref="A441" r:id="rId218" display="NanoZip 0.09α -cc -m2g (04.11.2011) Sami Runsas"/>
    <hyperlink ref="A471" r:id="rId219" display="NanoZip 0.09α -cc -m2g (04.11.2011) Sami Runsas"/>
    <hyperlink ref="A481" r:id="rId220" display="FreeARC 0.67 ultra (2012) Bulat Ziganshin"/>
    <hyperlink ref="A454" r:id="rId221" display="FreeARC 0.67 ultra (2012) Bulat Ziganshin"/>
    <hyperlink ref="G449" r:id="rId222" display="FreeARC 0.67 ultra (2012) Bulat Ziganshin"/>
    <hyperlink ref="M443" r:id="rId223" display="FreeARC 0.67 ultra (2012) Bulat Ziganshin"/>
    <hyperlink ref="G420" r:id="rId224" display="FreeARC 0.67 ultra (2012) Bulat Ziganshin"/>
    <hyperlink ref="A417" r:id="rId225" display="FreeARC 0.67 ultra (2012) Bulat Ziganshin"/>
    <hyperlink ref="M390" r:id="rId226" display="FreeARC 0.67 ultra (2012) Bulat Ziganshin"/>
    <hyperlink ref="G388" r:id="rId227" display="FreeARC 0.67 ultra (2012) Bulat Ziganshin"/>
    <hyperlink ref="A393" r:id="rId228" display="FreeARC 0.67 ultra (2012) Bulat Ziganshin"/>
    <hyperlink ref="G350" r:id="rId229" display="FreeARC 0.67 ultra (2012) Bulat Ziganshin"/>
    <hyperlink ref="A355" r:id="rId230" display="FreeARC 0.67 ultra (2012) Bulat Ziganshin"/>
    <hyperlink ref="A325" r:id="rId231" display="FreeARC 0.67 ultra (2012) Bulat Ziganshin"/>
    <hyperlink ref="G325" r:id="rId232" display="FreeARC 0.67 ultra (2012) Bulat Ziganshin"/>
    <hyperlink ref="M324" r:id="rId233" display="FreeARC 0.67 ultra (2012) Bulat Ziganshin"/>
    <hyperlink ref="G242" r:id="rId234" display="FreeARC 0.67 ultra (2012) Bulat Ziganshin"/>
    <hyperlink ref="A240" r:id="rId235" display="FreeARC 0.67 ultra (2012) Bulat Ziganshin"/>
    <hyperlink ref="M218" r:id="rId236" display="FreeARC 0.67 ultra (2012) Bulat Ziganshin"/>
    <hyperlink ref="G214" r:id="rId237" display="FreeARC 0.67 ultra (2012) Bulat Ziganshin"/>
    <hyperlink ref="A219" r:id="rId238" display="FreeARC 0.67 ultra (2012) Bulat Ziganshin"/>
    <hyperlink ref="M185" r:id="rId239" display="FreeARC 0.67 ultra (2012) Bulat Ziganshin"/>
    <hyperlink ref="G185" r:id="rId240" display="FreeARC 0.67 ultra (2012) Bulat Ziganshin"/>
    <hyperlink ref="A184" r:id="rId241" display="FreeARC 0.67 ultra (2012) Bulat Ziganshin"/>
    <hyperlink ref="G152" r:id="rId242" display="FreeARC 0.67 ultra (2012) Bulat Ziganshin"/>
    <hyperlink ref="M143" r:id="rId243" display="FreeARC 0.67 ultra (2012) Bulat Ziganshin"/>
    <hyperlink ref="A141" r:id="rId244" display="FreeARC 0.67 ultra (2012) Bulat Ziganshin"/>
    <hyperlink ref="M26" r:id="rId245" display="FreeARC 0.67 ultra (2012) Bulat Ziganshin"/>
    <hyperlink ref="G30" r:id="rId246" display="FreeARC 0.67 ultra (2012) Bulat Ziganshin"/>
    <hyperlink ref="A30" r:id="rId247" display="FreeARC 0.67 ultra (2012) Bulat Ziganshin"/>
    <hyperlink ref="A31" r:id="rId248" display="WinAce v2.69 Final (4096 KB dict + Delta) Marcel Lemke"/>
    <hyperlink ref="G29" r:id="rId249" display="WinAce v2.69 Final (4096 KB dict + Delta) Marcel Lemke"/>
    <hyperlink ref="M30" r:id="rId250" display="WinAce v2.69 Final (4096 KB dict + Delta) Marcel Lemke"/>
    <hyperlink ref="M147" r:id="rId251" display="WinAce v2.69 Final (4096 KB dict + Delta) Marcel Lemke"/>
    <hyperlink ref="G153" r:id="rId252" display="WinAce v2.69 Final (4096 KB dict + Delta) Marcel Lemke"/>
    <hyperlink ref="A142" r:id="rId253" display="WinAce v2.69 Final (4096 KB dict + Delta) Marcel Lemke"/>
    <hyperlink ref="A188" r:id="rId254" display="WinAce v2.69 Final (4096 KB dict + Delta) Marcel Lemke"/>
    <hyperlink ref="G190" r:id="rId255" display="WinAce v2.69 Final (4096 KB dict + Delta) Marcel Lemke"/>
    <hyperlink ref="M182" r:id="rId256" display="WinAce v2.69 Final (4096 KB dict + Delta) Marcel Lemke"/>
    <hyperlink ref="M217" r:id="rId257" display="WinAce v2.69 Final (4096 KB dict + Delta) Marcel Lemke"/>
    <hyperlink ref="G220" r:id="rId258" display="WinAce v2.69 Final (4096 KB dict + Delta) Marcel Lemke"/>
    <hyperlink ref="A223" r:id="rId259" display="WinAce v2.69 Final (4096 KB dict + Delta) Marcel Lemke"/>
    <hyperlink ref="A249" r:id="rId260" display="WinAce v2.69 Final (4096 KB dict + Delta) Marcel Lemke"/>
    <hyperlink ref="G249" r:id="rId261" display="WinAce v2.69 Final (4096 KB dict + Delta) Marcel Lemke"/>
    <hyperlink ref="M323" r:id="rId262" display="WinAce v2.69 Final (4096 KB dict + Delta) Marcel Lemke"/>
    <hyperlink ref="G322" r:id="rId263" display="WinAce v2.69 Final (4096 KB dict + Delta) Marcel Lemke"/>
    <hyperlink ref="A323" r:id="rId264" display="WinAce v2.69 Final (4096 KB dict + Delta) Marcel Lemke"/>
    <hyperlink ref="A354" r:id="rId265" display="WinAce v2.69 Final (4096 KB dict + Delta) Marcel Lemke"/>
    <hyperlink ref="G349" r:id="rId266" display="WinAce v2.69 Final (4096 KB dict + Delta) Marcel Lemke"/>
    <hyperlink ref="M391" r:id="rId267" display="WinAce v2.69 Final (4096 KB dict + Delta) Marcel Lemke"/>
    <hyperlink ref="G393" r:id="rId268" display="WinAce v2.69 Final (4096 KB dict + Delta) Marcel Lemke"/>
    <hyperlink ref="A390" r:id="rId269" display="WinAce v2.69 Final (4096 KB dict + Delta) Marcel Lemke"/>
    <hyperlink ref="G422" r:id="rId270" display="WinAce v2.69 Final (4096 KB dict + Delta) Marcel Lemke"/>
    <hyperlink ref="A420" r:id="rId271" display="WinAce v2.69 Final (4096 KB dict + Delta) Marcel Lemke"/>
    <hyperlink ref="A457" r:id="rId272" display="WinAce v2.69 Final (4096 KB dict + Delta) Marcel Lemke"/>
    <hyperlink ref="G451" r:id="rId273" display="WinAce v2.69 Final (4096 KB dict + Delta) Marcel Lemke"/>
    <hyperlink ref="M450" r:id="rId274" display="WinAce v2.69 Final (4096 KB dict + Delta) Marcel Lemke"/>
    <hyperlink ref="A475" r:id="rId275" display="WinAce v2.69 Final (4096 KB dict + Delta) Marcel Lemke"/>
    <hyperlink ref="A477" r:id="rId276" display="UHARC v0.6b (PPM, 32MB dict., Multimedia ) U. Herklotz"/>
    <hyperlink ref="M444" r:id="rId277" display="UHARC v0.6b (PPM, 32MB dict., Multimedia ) U. Herklotz"/>
    <hyperlink ref="A450" r:id="rId278" display="UHARC v0.6b (PPM, 32MB dict., Multimedia ) U. Herklotz"/>
    <hyperlink ref="A412" r:id="rId279" display="UHARC v0.6b (PPM, 32MB dict., Multimedia ) U. Herklotz"/>
    <hyperlink ref="G414" r:id="rId280" display="UHARC v0.6b (PPM, 32MB dict., Multimedia ) U. Herklotz"/>
    <hyperlink ref="M386" r:id="rId281" display="UHARC v0.6b (PPM, 32MB dict., Multimedia ) U. Herklotz"/>
    <hyperlink ref="G371" r:id="rId282" display="UHARC v0.6b (PPM, 32MB dict., Multimedia ) U. Herklotz"/>
    <hyperlink ref="A376" r:id="rId283" display="UHARC v0.6b (PPM, 32MB dict., Multimedia ) U. Herklotz"/>
    <hyperlink ref="G342" r:id="rId284" display="UHARC v0.6b (PPM, 32MB dict., Multimedia ) U. Herklotz"/>
    <hyperlink ref="A347" r:id="rId285" display="UHARC v0.6b (PPM, 32MB dict., Multimedia ) U. Herklotz"/>
    <hyperlink ref="M317" r:id="rId286" display="UHARC v0.6b (PPM, 32MB dict., Multimedia ) U. Herklotz"/>
    <hyperlink ref="G316" r:id="rId287" display="UHARC v0.6b (PPM, 32MB dict., Multimedia ) U. Herklotz"/>
    <hyperlink ref="A315" r:id="rId288" display="UHARC v0.6b (PPM, 32MB dict., Multimedia ) U. Herklotz"/>
    <hyperlink ref="G247" r:id="rId289" display="UHARC v0.6b (PPM, 32MB dict., Multimedia ) U. Herklotz"/>
    <hyperlink ref="A244" r:id="rId290" display="UHARC v0.6b (PPM, 32MB dict., Multimedia ) U. Herklotz"/>
    <hyperlink ref="G216" r:id="rId291" display="UHARC v0.6b (PPM, 32MB dict., Multimedia ) U. Herklotz"/>
    <hyperlink ref="M208" r:id="rId292" display="UHARC v0.6b (PPM, 32MB dict., Multimedia ) U. Herklotz"/>
    <hyperlink ref="A210" r:id="rId293" display="UHARC v0.6b (PPM, 32MB dict., Multimedia ) U. Herklotz"/>
    <hyperlink ref="G175" r:id="rId294" display="UHARC v0.6b (PPM, 32MB dict., Multimedia ) U. Herklotz"/>
    <hyperlink ref="M174" r:id="rId295" display="UHARC v0.6b (PPM, 32MB dict., Multimedia ) U. Herklotz"/>
    <hyperlink ref="A177" r:id="rId296" display="UHARC v0.6b (PPM, 32MB dict., Multimedia ) U. Herklotz"/>
    <hyperlink ref="A140" r:id="rId297" display="UHARC v0.6b (PPM, 32MB dict., Multimedia ) U. Herklotz"/>
    <hyperlink ref="G147" r:id="rId298" display="UHARC v0.6b (PPM, 32MB dict., Multimedia ) U. Herklotz"/>
    <hyperlink ref="M137" r:id="rId299" display="UHARC v0.6b (PPM, 32MB dict., Multimedia ) U. Herklotz"/>
    <hyperlink ref="M17" r:id="rId300" display="UHARC v0.6b (PPM, 32MB dict., Multimedia ) U. Herklotz"/>
    <hyperlink ref="G27" r:id="rId301" display="UHARC v0.6b (PPM, 32MB dict., Multimedia ) U. Herklotz"/>
    <hyperlink ref="A23" r:id="rId302" display="UHARC v0.6b (PPM, 32MB dict., Multimedia ) U. Herklotz"/>
    <hyperlink ref="A14" r:id="rId303" location="1532"/>
    <hyperlink ref="G15" r:id="rId304" location="1532"/>
    <hyperlink ref="M18" r:id="rId305" location="1532"/>
    <hyperlink ref="M128" r:id="rId306" location="1532"/>
    <hyperlink ref="G123" r:id="rId307" location="1532"/>
    <hyperlink ref="A126" r:id="rId308" location="1532"/>
    <hyperlink ref="A171" r:id="rId309" location="1532"/>
    <hyperlink ref="G171" r:id="rId310" location="1532"/>
    <hyperlink ref="M172" r:id="rId311" location="1532"/>
    <hyperlink ref="M206" r:id="rId312" location="1532"/>
    <hyperlink ref="G206" r:id="rId313" location="1532"/>
    <hyperlink ref="A207" r:id="rId314" location="1532"/>
    <hyperlink ref="A236" r:id="rId315" location="1532"/>
    <hyperlink ref="G234" r:id="rId316" location="1532"/>
    <hyperlink ref="M305" r:id="rId317" location="1532"/>
    <hyperlink ref="G305" r:id="rId318" location="1532"/>
    <hyperlink ref="A306" r:id="rId319" location="1532"/>
    <hyperlink ref="A336" r:id="rId320" location="1532"/>
    <hyperlink ref="G334" r:id="rId321" location="1532"/>
    <hyperlink ref="M373" r:id="rId322" location="1532"/>
    <hyperlink ref="G374" r:id="rId323" location="1532"/>
    <hyperlink ref="A372" r:id="rId324" location="1532"/>
    <hyperlink ref="A403" r:id="rId325" location="1532"/>
    <hyperlink ref="G404" r:id="rId326" location="1532"/>
    <hyperlink ref="M449" r:id="rId327" location="1532"/>
    <hyperlink ref="G444" r:id="rId328" location="1532"/>
    <hyperlink ref="A437" r:id="rId329" location="1532"/>
    <hyperlink ref="A470" r:id="rId330" location="1532"/>
    <hyperlink ref="A472" r:id="rId331"/>
    <hyperlink ref="M446" r:id="rId332"/>
    <hyperlink ref="G447" r:id="rId333" display="UHARC v0.6b (PPM, 32MB dict., Multimedia ) U. Herklotz"/>
    <hyperlink ref="G448" r:id="rId334"/>
    <hyperlink ref="A443" r:id="rId335"/>
    <hyperlink ref="A408" r:id="rId336"/>
    <hyperlink ref="G412" r:id="rId337"/>
    <hyperlink ref="M381" r:id="rId338"/>
    <hyperlink ref="G384" r:id="rId339"/>
    <hyperlink ref="A381" r:id="rId340"/>
    <hyperlink ref="G340" r:id="rId341"/>
    <hyperlink ref="A341" r:id="rId342"/>
    <hyperlink ref="M311" r:id="rId343"/>
    <hyperlink ref="G313" r:id="rId344"/>
    <hyperlink ref="A314" r:id="rId345"/>
    <hyperlink ref="G232" r:id="rId346"/>
    <hyperlink ref="A232" r:id="rId347"/>
    <hyperlink ref="M214" r:id="rId348"/>
    <hyperlink ref="G205" r:id="rId349"/>
    <hyperlink ref="A203" r:id="rId350"/>
    <hyperlink ref="M169" r:id="rId351"/>
    <hyperlink ref="G178" r:id="rId352"/>
    <hyperlink ref="A175" r:id="rId353"/>
    <hyperlink ref="M125" r:id="rId354"/>
    <hyperlink ref="G142" r:id="rId355"/>
    <hyperlink ref="A133" r:id="rId356"/>
    <hyperlink ref="M14" r:id="rId357"/>
    <hyperlink ref="G17" r:id="rId358"/>
    <hyperlink ref="A17" r:id="rId359"/>
    <hyperlink ref="A13" r:id="rId360" location="1350" display="PAQ8pxd_v4 (19.04.2012) -7 -worldwide PAQ crew-"/>
    <hyperlink ref="G14" r:id="rId361" location="1350" display="PAQ8pxd_v4 (19.04.2012) -7 -worldwide PAQ crew-"/>
    <hyperlink ref="M15" r:id="rId362" location="1350" display="PAQ8pxd_v4 (19.04.2012) -7 -worldwide PAQ crew-"/>
    <hyperlink ref="M129" r:id="rId363" location="1350" display="PAQ8pxd_v4 (19.04.2012) -7 -worldwide PAQ crew-"/>
    <hyperlink ref="G122" r:id="rId364" location="1350" display="PAQ8pxd_v4 (19.04.2012) -7 -worldwide PAQ crew-"/>
    <hyperlink ref="A125" r:id="rId365" location="1350" display="PAQ8pxd_v4 (19.04.2012) -7 -worldwide PAQ crew-"/>
    <hyperlink ref="A170" r:id="rId366" location="1350" display="PAQ8pxd_v4 (19.04.2012) -7 -worldwide PAQ crew-"/>
    <hyperlink ref="G170" r:id="rId367" location="1350" display="PAQ8pxd_v4 (19.04.2012) -7 -worldwide PAQ crew-"/>
    <hyperlink ref="M170" r:id="rId368" location="1350" display="PAQ8pxd_v4 (19.04.2012) -7 -worldwide PAQ crew-"/>
    <hyperlink ref="M204" r:id="rId369" location="1350" display="PAQ8pxd_v4 (19.04.2012) -7 -worldwide PAQ crew-"/>
    <hyperlink ref="G203" r:id="rId370" location="1350" display="PAQ8pxd_v4 (19.04.2012) -7 -worldwide PAQ crew-"/>
    <hyperlink ref="A205" r:id="rId371" location="1350" display="PAQ8pxd_v4 (19.04.2012) -7 -worldwide PAQ crew-"/>
    <hyperlink ref="A233" r:id="rId372" location="1350" display="PAQ8pxd_v4 (19.04.2012) -7 -worldwide PAQ crew-"/>
    <hyperlink ref="G235" r:id="rId373" location="1350" display="PAQ8pxd_v4 (19.04.2012) -7 -worldwide PAQ crew-"/>
    <hyperlink ref="M304" r:id="rId374" location="1350" display="PAQ8pxd_v4 (19.04.2012) -7 -worldwide PAQ crew-"/>
    <hyperlink ref="G304" r:id="rId375" location="1350" display="PAQ8pxd_v4 (19.04.2012) -7 -worldwide PAQ crew-"/>
    <hyperlink ref="A305" r:id="rId376" location="1350" display="PAQ8pxd_v4 (19.04.2012) -7 -worldwide PAQ crew-"/>
    <hyperlink ref="A335" r:id="rId377" location="1350" display="PAQ8pxd_v4 (19.04.2012) -7 -worldwide PAQ crew-"/>
    <hyperlink ref="G333" r:id="rId378" location="1350" display="PAQ8pxd_v4 (19.04.2012) -7 -worldwide PAQ crew-"/>
    <hyperlink ref="M374" r:id="rId379" location="1350" display="PAQ8pxd_v4 (19.04.2012) -7 -worldwide PAQ crew-"/>
    <hyperlink ref="G372" r:id="rId380" location="1350" display="PAQ8pxd_v4 (19.04.2012) -7 -worldwide PAQ crew-"/>
    <hyperlink ref="A371" r:id="rId381" location="1350" display="PAQ8pxd_v4 (19.04.2012) -7 -worldwide PAQ crew-"/>
    <hyperlink ref="G402" r:id="rId382" location="1350" display="PAQ8pxd_v4 (19.04.2012) -7 -worldwide PAQ crew-"/>
    <hyperlink ref="A402" r:id="rId383" location="1350" display="PAQ8pxd_v4 (19.04.2012) -7 -worldwide PAQ crew-"/>
    <hyperlink ref="A19" r:id="rId384"/>
    <hyperlink ref="G19" r:id="rId385"/>
    <hyperlink ref="M22" r:id="rId386"/>
    <hyperlink ref="M131" r:id="rId387"/>
    <hyperlink ref="G135" r:id="rId388"/>
    <hyperlink ref="A128" r:id="rId389"/>
    <hyperlink ref="M177" r:id="rId390"/>
    <hyperlink ref="G172" r:id="rId391"/>
    <hyperlink ref="A172" r:id="rId392"/>
    <hyperlink ref="A209" r:id="rId393"/>
    <hyperlink ref="G207" r:id="rId394"/>
    <hyperlink ref="M210" r:id="rId395"/>
    <hyperlink ref="G250" r:id="rId396"/>
    <hyperlink ref="A241" r:id="rId397"/>
    <hyperlink ref="M308" r:id="rId398"/>
    <hyperlink ref="G307" r:id="rId399"/>
    <hyperlink ref="A310" r:id="rId400"/>
    <hyperlink ref="G336" r:id="rId401"/>
    <hyperlink ref="A338" r:id="rId402"/>
    <hyperlink ref="M375" r:id="rId403"/>
    <hyperlink ref="G379" r:id="rId404"/>
    <hyperlink ref="A374" r:id="rId405"/>
    <hyperlink ref="G405" r:id="rId406"/>
    <hyperlink ref="A404" r:id="rId407"/>
    <hyperlink ref="M437" r:id="rId408"/>
    <hyperlink ref="G439" r:id="rId409"/>
    <hyperlink ref="A438" r:id="rId410"/>
    <hyperlink ref="A469" r:id="rId411"/>
    <hyperlink ref="A26" r:id="rId412" display="LZHAM α7r1 -m4 -d29 -t11 -e -x R. Geldreich, Jr."/>
    <hyperlink ref="G25" r:id="rId413" display="LZHAM α7r1 -m4 -d29 -t11 -e -x R. Geldreich, Jr."/>
    <hyperlink ref="M24" r:id="rId414" display="LZHAM α7r1 -m4 -d29 -t11 -e -x R. Geldreich, Jr."/>
    <hyperlink ref="M140" r:id="rId415" display="LZHAM α7r1 -m4 -d29 -t11 -e -x R. Geldreich, Jr."/>
    <hyperlink ref="G148" r:id="rId416" display="LZHAM α7r1 -m4 -d29 -t11 -e -x R. Geldreich, Jr."/>
    <hyperlink ref="A138" r:id="rId417" display="LZHAM α7r1 -m4 -d29 -t11 -e -x R. Geldreich, Jr."/>
    <hyperlink ref="A182" r:id="rId418" display="LZHAM α7r1 -m4 -d29 -t11 -e -x R. Geldreich, Jr."/>
    <hyperlink ref="G179" r:id="rId419" display="LZHAM α7r1 -m4 -d29 -t11 -e -x R. Geldreich, Jr."/>
    <hyperlink ref="M180" r:id="rId420" display="LZHAM α7r1 -m4 -d29 -t11 -e -x R. Geldreich, Jr."/>
    <hyperlink ref="M215" r:id="rId421" display="LZHAM α7r1 -m4 -d29 -t11 -e -x R. Geldreich, Jr."/>
    <hyperlink ref="G209" r:id="rId422" display="LZHAM α7r1 -m4 -d29 -t11 -e -x R. Geldreich, Jr."/>
    <hyperlink ref="A212" r:id="rId423" display="LZHAM α7r1 -m4 -d29 -t11 -e -x R. Geldreich, Jr."/>
    <hyperlink ref="A237" r:id="rId424" display="LZHAM α7r1 -m4 -d29 -t11 -e -x R. Geldreich, Jr."/>
    <hyperlink ref="G239" r:id="rId425" display="LZHAM α7r1 -m4 -d29 -t11 -e -x R. Geldreich, Jr."/>
    <hyperlink ref="M316" r:id="rId426" display="LZHAM α7r1 -m4 -d29 -t11 -e -x R. Geldreich, Jr."/>
    <hyperlink ref="G315" r:id="rId427" display="LZHAM α7r1 -m4 -d29 -t11 -e -x R. Geldreich, Jr."/>
    <hyperlink ref="A316" r:id="rId428" display="LZHAM α7r1 -m4 -d29 -t11 -e -x R. Geldreich, Jr."/>
    <hyperlink ref="G344" r:id="rId429" display="LZHAM α7r1 -m4 -d29 -t11 -e -x R. Geldreich, Jr."/>
    <hyperlink ref="A345" r:id="rId430" display="LZHAM α7r1 -m4 -d29 -t11 -e -x R. Geldreich, Jr."/>
    <hyperlink ref="A379" r:id="rId431" display="LZHAM α7r1 -m4 -d29 -t11 -e -x R. Geldreich, Jr."/>
    <hyperlink ref="G380" r:id="rId432" display="LZHAM α7r1 -m4 -d29 -t11 -e -x R. Geldreich, Jr."/>
    <hyperlink ref="M385" r:id="rId433" display="LZHAM α7r1 -m4 -d29 -t11 -e -x R. Geldreich, Jr."/>
    <hyperlink ref="G416" r:id="rId434" display="LZHAM α7r1 -m4 -d29 -t11 -e -x R. Geldreich, Jr."/>
    <hyperlink ref="A413" r:id="rId435" display="LZHAM α7r1 -m4 -d29 -t11 -e -x R. Geldreich, Jr."/>
    <hyperlink ref="M447" r:id="rId436" display="LZHAM α7r1 -m4 -d29 -t11 -e -x R. Geldreich, Jr."/>
    <hyperlink ref="G445" r:id="rId437" display="LZHAM α7r1 -m4 -d29 -t11 -e -x R. Geldreich, Jr."/>
    <hyperlink ref="A445" r:id="rId438" display="LZHAM α7r1 -m4 -d29 -t11 -e -x R. Geldreich, Jr."/>
    <hyperlink ref="A482" r:id="rId439" display="LZHAM α7r1 -m4 -d29 -t11 -e -x R. Geldreich, Jr."/>
    <hyperlink ref="A485" r:id="rId440"/>
    <hyperlink ref="M454" r:id="rId441"/>
    <hyperlink ref="G453" r:id="rId442"/>
    <hyperlink ref="A449" r:id="rId443"/>
    <hyperlink ref="G409" r:id="rId444"/>
    <hyperlink ref="A407" r:id="rId445"/>
    <hyperlink ref="A378" r:id="rId446"/>
    <hyperlink ref="G383" r:id="rId447"/>
    <hyperlink ref="M377" r:id="rId448"/>
    <hyperlink ref="G339" r:id="rId449"/>
    <hyperlink ref="A342" r:id="rId450"/>
    <hyperlink ref="M314" r:id="rId451"/>
    <hyperlink ref="G311" r:id="rId452"/>
    <hyperlink ref="A309" r:id="rId453"/>
    <hyperlink ref="A248" r:id="rId454"/>
    <hyperlink ref="G245" r:id="rId455"/>
    <hyperlink ref="M224" r:id="rId456"/>
    <hyperlink ref="G221" r:id="rId457"/>
    <hyperlink ref="A220" r:id="rId458"/>
    <hyperlink ref="A187" r:id="rId459"/>
    <hyperlink ref="G182" r:id="rId460"/>
    <hyperlink ref="M184" r:id="rId461"/>
    <hyperlink ref="M134" r:id="rId462"/>
    <hyperlink ref="G140" r:id="rId463"/>
    <hyperlink ref="A135" r:id="rId464"/>
    <hyperlink ref="A32" r:id="rId465"/>
    <hyperlink ref="G32" r:id="rId466"/>
    <hyperlink ref="M27" r:id="rId467"/>
    <hyperlink ref="M124" r:id="rId468" display="PreComp 0.4.3 dev Christian Schneider"/>
    <hyperlink ref="G144" r:id="rId469" display="PreComp 0.4.3 dev Christian Schneider"/>
    <hyperlink ref="A144" r:id="rId470" display="PreComp 0.4.3 dev Christian Schneider"/>
    <hyperlink ref="G169" r:id="rId471" display="PreComp 0.4.3 dev Christian Schneider"/>
    <hyperlink ref="A169" r:id="rId472" display="PreComp 0.4.3 dev Christian Schneider"/>
    <hyperlink ref="A15" r:id="rId473" display="PreComp 0.4.3 dev Christian Schneider"/>
    <hyperlink ref="G16" r:id="rId474" display="PreComp 0.4.3 dev Christian Schneider"/>
    <hyperlink ref="M31" r:id="rId475" display="PreComp 0.4.3 dev Christian Schneider"/>
    <hyperlink ref="M189" r:id="rId476" display="PreComp 0.4.3 dev Christian Schneider"/>
    <hyperlink ref="G224" r:id="rId477" display="PreComp 0.4.3 dev Christian Schneider"/>
    <hyperlink ref="M221" r:id="rId478" display="PreComp 0.4.3 dev Christian Schneider"/>
    <hyperlink ref="A204" r:id="rId479" display="PreComp 0.4.3 dev Christian Schneider"/>
    <hyperlink ref="G253" r:id="rId480" display="PreComp 0.4.3 dev Christian Schneider"/>
    <hyperlink ref="A252" r:id="rId481" display="PreComp 0.4.3 dev Christian Schneider"/>
    <hyperlink ref="M320" r:id="rId482" display="PreComp 0.4.3 dev Christian Schneider"/>
    <hyperlink ref="G319" r:id="rId483" display="PreComp 0.4.3 dev Christian Schneider"/>
    <hyperlink ref="A321" r:id="rId484" display="PreComp 0.4.3 dev Christian Schneider"/>
    <hyperlink ref="A349" r:id="rId485" display="PreComp 0.4.3 dev Christian Schneider"/>
    <hyperlink ref="G352" r:id="rId486" display="PreComp 0.4.3 dev Christian Schneider"/>
    <hyperlink ref="M371" r:id="rId487" display="PreComp 0.4.3 dev Christian Schneider"/>
    <hyperlink ref="G392" r:id="rId488" display="PreComp 0.4.3 dev Christian Schneider"/>
    <hyperlink ref="A387" r:id="rId489" display="PreComp 0.4.3 dev Christian Schneider"/>
    <hyperlink ref="A419" r:id="rId490" display="PreComp 0.4.3 dev Christian Schneider"/>
    <hyperlink ref="G418" r:id="rId491" display="PreComp 0.4.3 dev Christian Schneider"/>
    <hyperlink ref="M457" r:id="rId492" display="PreComp 0.4.3 dev Christian Schneider"/>
    <hyperlink ref="G458" r:id="rId493" display="PreComp 0.4.3 dev Christian Schneider"/>
    <hyperlink ref="A455" r:id="rId494" display="PreComp 0.4.3 dev Christian Schneider"/>
    <hyperlink ref="A489" r:id="rId495" display="PreComp 0.4.3 dev Christian Schneider"/>
    <hyperlink ref="A285" r:id="rId496" display="BZIP2 1.0 (2008) -9 Julian Seward"/>
    <hyperlink ref="A287" r:id="rId497"/>
    <hyperlink ref="A278" r:id="rId498" display="ZCM 0.60d -m7 -r -s (2012) N.F. Antonio"/>
    <hyperlink ref="A275" r:id="rId499" display="WinRar x64 v3.92 (4096 KB dictionary + Delta) Eugene Roshal"/>
    <hyperlink ref="A273" r:id="rId500" display="DGCA 1.00 - 1.10e (2004-2006) Shin-ichi Tsuruta"/>
    <hyperlink ref="A288" r:id="rId501" display="7-Zip x64 9.1.7 (0=delta:4 1=lzma:lp1:d96:fb273) Igor Pavlov"/>
    <hyperlink ref="A266" r:id="rId502" display="NanoZip 0.09α -cc -m2g (04.11.2011) Sami Runsas"/>
    <hyperlink ref="A279" r:id="rId503" display="FreeARC 0.67 ultra (2012) Bulat Ziganshin"/>
    <hyperlink ref="A269" r:id="rId504" display="WinAce v2.69 Final (4096 KB dict + Delta) Marcel Lemke"/>
    <hyperlink ref="A268" r:id="rId505" display="UHARC v0.6b (PPM, 32MB dict., Multimedia ) U. Herklotz"/>
    <hyperlink ref="A274" r:id="rId506" location="1532"/>
    <hyperlink ref="A286" r:id="rId507"/>
    <hyperlink ref="A270" r:id="rId508" location="1350" display="PAQ8pxd_v4 (19.04.2012) -7 -worldwide PAQ crew-"/>
    <hyperlink ref="A267" r:id="rId509"/>
    <hyperlink ref="A284" r:id="rId510" display="LZHAM α7r1 -m4 -d29 -t11 -e -x R. Geldreich, Jr."/>
    <hyperlink ref="A282" r:id="rId511" display="BSC 3.1.0 -b1024rsca -m0 -H28 -M255 I. Grebnov"/>
    <hyperlink ref="G285" r:id="rId512" display="BZIP2 1.0 (2008) -9 Julian Seward"/>
    <hyperlink ref="G288" r:id="rId513"/>
    <hyperlink ref="G278" r:id="rId514" display="ZCM 0.60d -m7 -r -s (2012) N.F. Antonio"/>
    <hyperlink ref="G277" r:id="rId515" display="WinRar x64 v3.92 (4096 KB dictionary + Delta) Eugene Roshal"/>
    <hyperlink ref="G273" r:id="rId516" display="DGCA 1.00 - 1.10e (2004-2006) Shin-ichi Tsuruta"/>
    <hyperlink ref="G287" r:id="rId517" display="7-Zip x64 9.1.7 (0=delta:4 1=lzma:lp1:d96:fb273) Igor Pavlov"/>
    <hyperlink ref="G266" r:id="rId518" display="NanoZip 0.09α -cc -m2g (04.11.2011) Sami Runsas"/>
    <hyperlink ref="G279" r:id="rId519" display="FreeARC 0.67 ultra (2012) Bulat Ziganshin"/>
    <hyperlink ref="G274" r:id="rId520" display="WinAce v2.69 Final (4096 KB dict + Delta) Marcel Lemke"/>
    <hyperlink ref="G272" r:id="rId521" display="UHARC v0.6b (PPM, 32MB dict., Multimedia ) U. Herklotz"/>
    <hyperlink ref="G270" r:id="rId522" location="1532"/>
    <hyperlink ref="G286" r:id="rId523"/>
    <hyperlink ref="G269" r:id="rId524" location="1350" display="PAQ8pxd_v4 (19.04.2012) -7 -worldwide PAQ crew-"/>
    <hyperlink ref="G275" r:id="rId525"/>
    <hyperlink ref="G283" r:id="rId526" display="LZHAM α7r1 -m4 -d29 -t11 -e -x R. Geldreich, Jr."/>
    <hyperlink ref="G282" r:id="rId527"/>
    <hyperlink ref="M285" r:id="rId528" display="BZIP2 1.0 (2008) -9 Julian Seward"/>
    <hyperlink ref="M283" r:id="rId529"/>
    <hyperlink ref="M275" r:id="rId530" display="ZCM 0.60d -m7 -r -s (2012) N.F. Antonio"/>
    <hyperlink ref="M287" r:id="rId531" display="WinRar x64 v3.92 (4096 KB dictionary + Delta) Eugene Roshal"/>
    <hyperlink ref="M278" r:id="rId532" display="DGCA 1.00 - 1.10e (2004-2006) Shin-ichi Tsuruta"/>
    <hyperlink ref="M284" r:id="rId533" display="7-Zip x64 9.1.7 (0=delta:4 1=lzma:lp1:d96:fb273) Igor Pavlov"/>
    <hyperlink ref="M272" r:id="rId534" display="NanoZip 0.09α -cc -m2g (04.11.2011) Sami Runsas"/>
    <hyperlink ref="M279" r:id="rId535" display="FreeARC 0.67 ultra (2012) Bulat Ziganshin"/>
    <hyperlink ref="M286" r:id="rId536" display="WinAce v2.69 Final (4096 KB dict + Delta) Marcel Lemke"/>
    <hyperlink ref="M274" r:id="rId537" display="UHARC v0.6b (PPM, 32MB dict., Multimedia ) U. Herklotz"/>
    <hyperlink ref="M267" r:id="rId538" location="1532"/>
    <hyperlink ref="M281" r:id="rId539"/>
    <hyperlink ref="M266" r:id="rId540" location="1350" display="PAQ8pxd_v4 (19.04.2012) -7 -worldwide PAQ crew-"/>
    <hyperlink ref="M268" r:id="rId541"/>
    <hyperlink ref="M282" r:id="rId542" display="LZHAM α7r1 -m4 -d29 -t11 -e -x R. Geldreich, Jr."/>
    <hyperlink ref="M280" r:id="rId543"/>
    <hyperlink ref="M264" r:id="rId544" location="radix_-_yuki_satellites.xm"/>
    <hyperlink ref="A272" r:id="rId545"/>
    <hyperlink ref="G268" r:id="rId546"/>
    <hyperlink ref="M271" r:id="rId547"/>
    <hyperlink ref="A283" r:id="rId548"/>
    <hyperlink ref="G284" r:id="rId549"/>
    <hyperlink ref="M289" r:id="rId550"/>
    <hyperlink ref="A291" r:id="rId551"/>
    <hyperlink ref="G290" r:id="rId552"/>
    <hyperlink ref="M290" r:id="rId553"/>
    <hyperlink ref="G264" r:id="rId554"/>
    <hyperlink ref="A292" r:id="rId555"/>
    <hyperlink ref="G292" r:id="rId556"/>
    <hyperlink ref="M292" r:id="rId557"/>
    <hyperlink ref="A276" r:id="rId558"/>
    <hyperlink ref="G276" r:id="rId559"/>
    <hyperlink ref="M269" r:id="rId560"/>
    <hyperlink ref="A264" r:id="rId561"/>
    <hyperlink ref="A70" r:id="rId562" display="BZIP2 1.0 (2008) -9 Julian Seward"/>
    <hyperlink ref="A72" r:id="rId563"/>
    <hyperlink ref="A62" r:id="rId564" display="ZCM 0.60d -m7 -r -s (2012) N.F. Antonio"/>
    <hyperlink ref="A69" r:id="rId565" display="WinRar x64 v3.92 (4096 KB dictionary + Delta) Eugene Roshal"/>
    <hyperlink ref="A65" r:id="rId566" display="DGCA 1.00 - 1.10e (2004-2006) Shin-ichi Tsuruta"/>
    <hyperlink ref="A68" r:id="rId567" display="7-Zip x64 9.1.7 (0=delta:4 1=lzma:lp1:d96:fb273) Igor Pavlov"/>
    <hyperlink ref="A53" r:id="rId568" display="NanoZip 0.09α -cc -m2g (04.11.2011) Sami Runsas"/>
    <hyperlink ref="A73" r:id="rId569" display="FreeARC 0.67 ultra (2012) Bulat Ziganshin"/>
    <hyperlink ref="A71" r:id="rId570" display="WinAce v2.69 Final (4096 KB dict + Delta) Marcel Lemke"/>
    <hyperlink ref="A60" r:id="rId571" display="UHARC v0.6b (PPM, 32MB dict., Multimedia ) U. Herklotz"/>
    <hyperlink ref="A55" r:id="rId572" location="1532"/>
    <hyperlink ref="A63" r:id="rId573"/>
    <hyperlink ref="A54" r:id="rId574" location="1350" display="PAQ8pxd_v4 (19.04.2012) -7 -worldwide PAQ crew-"/>
    <hyperlink ref="A57" r:id="rId575"/>
    <hyperlink ref="A67" r:id="rId576" display="LZHAM α7r1 -m4 -d29 -t11 -e -x R. Geldreich, Jr."/>
    <hyperlink ref="A74" r:id="rId577" display="BSC 3.1.0 -b1024rsca -m0 -H28 -M255 I. Grebnov"/>
    <hyperlink ref="A56" r:id="rId578" display="PreComp 0.4.3 dev Christian Schneider"/>
    <hyperlink ref="G62" r:id="rId579" display="BZIP2 1.0 (2008) -9 Julian Seward"/>
    <hyperlink ref="G66" r:id="rId580"/>
    <hyperlink ref="G51" r:id="rId581" display="ZCM 0.60d -m7 -r -s (2012) N.F. Antonio"/>
    <hyperlink ref="G69" r:id="rId582" display="WinRar x64 v3.92 (4096 KB dictionary + Delta) Eugene Roshal"/>
    <hyperlink ref="G53" r:id="rId583" display="DGCA 1.00 - 1.10e (2004-2006) Shin-ichi Tsuruta"/>
    <hyperlink ref="G67" r:id="rId584" display="7-Zip x64 9.1.7 (0=delta:4 1=lzma:lp1:d96:fb273) Igor Pavlov"/>
    <hyperlink ref="G49" r:id="rId585" display="NanoZip 0.09α -cc -m2g (04.11.2011) Sami Runsas"/>
    <hyperlink ref="G68" r:id="rId586" display="FreeARC 0.67 ultra (2012) Bulat Ziganshin"/>
    <hyperlink ref="G71" r:id="rId587" display="WinAce v2.69 Final (4096 KB dict + Delta) Marcel Lemke"/>
    <hyperlink ref="G60" r:id="rId588" display="UHARC v0.6b (PPM, 32MB dict., Multimedia ) U. Herklotz"/>
    <hyperlink ref="G48" r:id="rId589" location="1532"/>
    <hyperlink ref="G65" r:id="rId590"/>
    <hyperlink ref="G47" r:id="rId591" location="1350" display="PAQ8pxd_v4 (19.04.2012) -7 -worldwide PAQ crew-"/>
    <hyperlink ref="G50" r:id="rId592"/>
    <hyperlink ref="G64" r:id="rId593" display="LZHAM α7r1 -m4 -d29 -t11 -e -x R. Geldreich, Jr."/>
    <hyperlink ref="G57" r:id="rId594" display="BSC 3.1.0 -b1024rsca -m0 -H28 -M255 I. Grebnov"/>
    <hyperlink ref="G61" r:id="rId595" display="PreComp 0.4.3 dev Christian Schneider"/>
    <hyperlink ref="A51" r:id="rId596" display=".RWZ RAWZOR (lossless) Sachin Garg 2010"/>
    <hyperlink ref="G76" r:id="rId597" display=".RWZ RAWZOR (lossless) Sachin Garg 2010"/>
    <hyperlink ref="G72" r:id="rId598"/>
    <hyperlink ref="A75" r:id="rId599"/>
    <hyperlink ref="A66" r:id="rId600" display="7-Zip x64 9.1.7 (0=delta:4 1=lzma:lp1:d96:fb273) Igor Pavlov"/>
    <hyperlink ref="G58" r:id="rId601" display="7-Zip x64 9.1.7 (0=delta:4 1=lzma:lp1:d96:fb273) Igor Pavlov"/>
    <hyperlink ref="M100" r:id="rId602" display="BZIP2 1.0 (2008) -9 Julian Seward"/>
    <hyperlink ref="M96" r:id="rId603"/>
    <hyperlink ref="M92" r:id="rId604" display="ZCM 0.60d -m7 -r -s (2012) N.F. Antonio"/>
    <hyperlink ref="M102" r:id="rId605" display="WinRar x64 v3.92 (4096 KB dictionary + Delta) Eugene Roshal"/>
    <hyperlink ref="M90" r:id="rId606" display="DGCA 1.00 - 1.10e (2004-2006) Shin-ichi Tsuruta"/>
    <hyperlink ref="M95" r:id="rId607" display="7-Zip x64 9.1.7 (0=delta:4 1=lzma:lp1:d96:fb273) Igor Pavlov"/>
    <hyperlink ref="M83" r:id="rId608" display="NanoZip 0.09α -cc -m2g (04.11.2011) Sami Runsas"/>
    <hyperlink ref="M97" r:id="rId609" display="FreeARC 0.67 ultra (2012) Bulat Ziganshin"/>
    <hyperlink ref="M103" r:id="rId610" display="WinAce v2.69 Final (4096 KB dict + Delta) Marcel Lemke"/>
    <hyperlink ref="M99" r:id="rId611" display="UHARC v0.6b (PPM, 32MB dict., Multimedia ) U. Herklotz"/>
    <hyperlink ref="M82" r:id="rId612" location="1532"/>
    <hyperlink ref="M88" r:id="rId613"/>
    <hyperlink ref="M81" r:id="rId614" location="1350" display="PAQ8pxd_v4 (19.04.2012) -7 -worldwide PAQ crew-"/>
    <hyperlink ref="M85" r:id="rId615"/>
    <hyperlink ref="M94" r:id="rId616" display="LZHAM α7r1 -m4 -d29 -t11 -e -x R. Geldreich, Jr."/>
    <hyperlink ref="M89" r:id="rId617" display="BSC 3.1.0 -b1024rsca -m0 -H28 -M255 I. Grebnov"/>
    <hyperlink ref="M98" r:id="rId618" display="PreComp 0.4.3 dev Christian Schneider"/>
    <hyperlink ref="M110" r:id="rId619" display=".RWZ RAWZOR (lossless) Sachin Garg 2010"/>
    <hyperlink ref="M101" r:id="rId620"/>
    <hyperlink ref="M91" r:id="rId621" display="7-Zip x64 9.1.7 (0=delta:4 1=lzma:lp1:d96:fb273) Igor Pavlov"/>
    <hyperlink ref="M72" r:id="rId622" display="BZIP2 1.0 (2008) -9 Julian Seward"/>
    <hyperlink ref="M69" r:id="rId623"/>
    <hyperlink ref="M57" r:id="rId624" display="ZCM 0.60d -m7 -r -s (2012) N.F. Antonio"/>
    <hyperlink ref="M71" r:id="rId625" display="WinRar x64 v3.92 (4096 KB dictionary + Delta) Eugene Roshal"/>
    <hyperlink ref="M56" r:id="rId626" display="DGCA 1.00 - 1.10e (2004-2006) Shin-ichi Tsuruta"/>
    <hyperlink ref="M63" r:id="rId627" display="7-Zip x64 9.1.7 (0=delta:4 1=lzma:lp1:d96:fb273) Igor Pavlov"/>
    <hyperlink ref="M52" r:id="rId628" display="NanoZip 0.09α -cc -m2g (04.11.2011) Sami Runsas"/>
    <hyperlink ref="M74" r:id="rId629" display="FreeARC 0.67 ultra (2012) Bulat Ziganshin"/>
    <hyperlink ref="M73" r:id="rId630" display="WinAce v2.69 Final (4096 KB dict + Delta) Marcel Lemke"/>
    <hyperlink ref="M61" r:id="rId631" display="UHARC v0.6b (PPM, 32MB dict., Multimedia ) U. Herklotz"/>
    <hyperlink ref="M53" r:id="rId632" location="1532"/>
    <hyperlink ref="M59" r:id="rId633"/>
    <hyperlink ref="M54" r:id="rId634" location="1350" display="PAQ8pxd_v4 (19.04.2012) -7 -worldwide PAQ crew-"/>
    <hyperlink ref="M55" r:id="rId635"/>
    <hyperlink ref="M65" r:id="rId636" display="LZHAM α7r1 -m4 -d29 -t11 -e -x R. Geldreich, Jr."/>
    <hyperlink ref="M68" r:id="rId637" display="BSC 3.1.0 -b1024rsca -m0 -H28 -M255 I. Grebnov"/>
    <hyperlink ref="M51" r:id="rId638" display="PreComp 0.4.3 dev Christian Schneider"/>
    <hyperlink ref="M49" r:id="rId639" display=".RWZ RAWZOR (lossless) Sachin Garg 2010"/>
    <hyperlink ref="M64" r:id="rId640"/>
    <hyperlink ref="M62" r:id="rId641" display="7-Zip x64 9.1.7 (0=delta:4 1=lzma:lp1:d96:fb273) Igor Pavlov"/>
    <hyperlink ref="M45" r:id="rId642"/>
    <hyperlink ref="M79" r:id="rId643"/>
    <hyperlink ref="A45" r:id="rId644"/>
    <hyperlink ref="A434" r:id="rId645"/>
    <hyperlink ref="G45" r:id="rId646"/>
    <hyperlink ref="G100" r:id="rId647" display="BZIP2 1.0 (2008) -9 Julian Seward"/>
    <hyperlink ref="G104" r:id="rId648"/>
    <hyperlink ref="G88" r:id="rId649" display="ZCM 0.60d -m7 -r -s (2012) N.F. Antonio"/>
    <hyperlink ref="G106" r:id="rId650" display="WinRar x64 v3.92 (4096 KB dictionary + Delta) Eugene Roshal"/>
    <hyperlink ref="G96" r:id="rId651" display="DGCA 1.00 - 1.10e (2004-2006) Shin-ichi Tsuruta"/>
    <hyperlink ref="G103" r:id="rId652" display="7-Zip x64 9.1.7 (0=delta:4 1=lzma:lp1:d96:fb273) Igor Pavlov"/>
    <hyperlink ref="G87" r:id="rId653" display="NanoZip 0.09α -cc -m2g (04.11.2011) Sami Runsas"/>
    <hyperlink ref="G105" r:id="rId654" display="FreeARC 0.67 ultra (2012) Bulat Ziganshin"/>
    <hyperlink ref="G108" r:id="rId655" display="WinAce v2.69 Final (4096 KB dict + Delta) Marcel Lemke"/>
    <hyperlink ref="G101" r:id="rId656" display="UHARC v0.6b (PPM, 32MB dict., Multimedia ) U. Herklotz"/>
    <hyperlink ref="G86" r:id="rId657" location="1532"/>
    <hyperlink ref="G98" r:id="rId658"/>
    <hyperlink ref="G85" r:id="rId659" location="1350" display="PAQ8pxd_v4 (19.04.2012) -7 -worldwide PAQ crew-"/>
    <hyperlink ref="G91" r:id="rId660"/>
    <hyperlink ref="G102" r:id="rId661" display="LZHAM α7r1 -m4 -d29 -t11 -e -x R. Geldreich, Jr."/>
    <hyperlink ref="G95" r:id="rId662" display="BSC 3.1.0 -b1024rsca -m0 -H28 -M255 I. Grebnov"/>
    <hyperlink ref="G97" r:id="rId663" display="PreComp 0.4.3 dev Christian Schneider"/>
    <hyperlink ref="G110" r:id="rId664" display=".RWZ RAWZOR (lossless) Sachin Garg 2010"/>
    <hyperlink ref="G107" r:id="rId665"/>
    <hyperlink ref="G93" r:id="rId666" display="7-Zip x64 9.1.7 (0=delta:4 1=lzma:lp1:d96:fb273) Igor Pavlov"/>
    <hyperlink ref="A101" r:id="rId667" display="BZIP2 1.0 (2008) -9 Julian Seward"/>
    <hyperlink ref="A103" r:id="rId668"/>
    <hyperlink ref="A89" r:id="rId669" display="ZCM 0.60d -m7 -r -s (2012) N.F. Antonio"/>
    <hyperlink ref="A100" r:id="rId670" display="WinRar x64 v3.92 (4096 KB dictionary + Delta) Eugene Roshal"/>
    <hyperlink ref="A91" r:id="rId671" display="DGCA 1.00 - 1.10e (2004-2006) Shin-ichi Tsuruta"/>
    <hyperlink ref="A94" r:id="rId672" display="7-Zip x64 9.1.7 (0=delta:4 1=lzma:lp1:d96:fb273) Igor Pavlov"/>
    <hyperlink ref="A83" r:id="rId673" display="NanoZip 0.09α -cc -m2g (04.11.2011) Sami Runsas"/>
    <hyperlink ref="A104" r:id="rId674" display="FreeARC 0.67 ultra (2012) Bulat Ziganshin"/>
    <hyperlink ref="A102" r:id="rId675" display="WinAce v2.69 Final (4096 KB dict + Delta) Marcel Lemke"/>
    <hyperlink ref="A93" r:id="rId676" display="UHARC v0.6b (PPM, 32MB dict., Multimedia ) U. Herklotz"/>
    <hyperlink ref="A84" r:id="rId677" location="1532"/>
    <hyperlink ref="A88" r:id="rId678"/>
    <hyperlink ref="A85" r:id="rId679" location="1350" display="PAQ8pxd_v4 (19.04.2012) -7 -worldwide PAQ crew-"/>
    <hyperlink ref="A86" r:id="rId680"/>
    <hyperlink ref="A96" r:id="rId681" display="LZHAM α7r1 -m4 -d29 -t11 -e -x R. Geldreich, Jr."/>
    <hyperlink ref="A98" r:id="rId682" display="BSC 3.1.0 -b1024rsca -m0 -H28 -M255 I. Grebnov"/>
    <hyperlink ref="A82" r:id="rId683" display="PreComp 0.4.3 dev Christian Schneider"/>
    <hyperlink ref="A81" r:id="rId684" display=".RWZ RAWZOR (lossless) Sachin Garg 2010"/>
    <hyperlink ref="A97" r:id="rId685"/>
    <hyperlink ref="A95" r:id="rId686" display="7-Zip x64 9.1.7 (0=delta:4 1=lzma:lp1:d96:fb273) Igor Pavlov"/>
    <hyperlink ref="A79" r:id="rId687"/>
    <hyperlink ref="G79" r:id="rId688"/>
  </hyperlinks>
  <pageMargins left="0.7" right="0.7" top="0.75" bottom="0.75" header="0.3" footer="0.3"/>
  <pageSetup paperSize="9" orientation="portrait" r:id="rId689"/>
  <legacyDrawing r:id="rId690"/>
  <webPublishItems count="1">
    <webPublishItem id="29700" divId="Squeeze Chart 2009 XML INSTALLER_29700" sourceType="range" sourceRef="A1:Q491" destinationFile="C:\Users\HexaCore\Documents\special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M614"/>
  <sheetViews>
    <sheetView showGridLines="0" workbookViewId="0"/>
  </sheetViews>
  <sheetFormatPr baseColWidth="10" defaultColWidth="0" defaultRowHeight="15" customHeight="1" zeroHeight="1"/>
  <cols>
    <col min="1" max="1" width="4.7109375" style="140" customWidth="1"/>
    <col min="2" max="4" width="12.7109375" style="140" customWidth="1"/>
    <col min="5" max="7" width="22.7109375" style="140" customWidth="1"/>
    <col min="8" max="9" width="14.7109375" style="140" customWidth="1"/>
    <col min="10" max="10" width="22.42578125" style="140" customWidth="1"/>
    <col min="11" max="11" width="4.7109375" style="140" customWidth="1"/>
    <col min="12" max="12" width="13.42578125" style="140" customWidth="1"/>
    <col min="13" max="13" width="4.7109375" style="140" customWidth="1"/>
    <col min="14" max="16384" width="9.140625" style="109" hidden="1"/>
  </cols>
  <sheetData>
    <row r="1" spans="1:13" ht="60" customHeight="1">
      <c r="A1" s="108"/>
      <c r="B1" s="120"/>
      <c r="C1" s="112"/>
      <c r="D1" s="120"/>
      <c r="E1" s="121" t="s">
        <v>1624</v>
      </c>
      <c r="F1" s="114"/>
      <c r="G1" s="115"/>
      <c r="H1" s="116"/>
      <c r="I1" s="116"/>
      <c r="J1" s="116"/>
      <c r="K1" s="117"/>
      <c r="L1" s="118"/>
      <c r="M1" s="119"/>
    </row>
    <row r="2" spans="1:13" ht="18.75">
      <c r="A2" s="108"/>
      <c r="B2" s="3167">
        <f ca="1">NOW()</f>
        <v>41295.601211689813</v>
      </c>
      <c r="C2" s="3168"/>
      <c r="D2" s="122" t="s">
        <v>760</v>
      </c>
      <c r="E2" s="110"/>
      <c r="F2" s="110"/>
      <c r="G2" s="110"/>
      <c r="H2" s="110"/>
      <c r="I2" s="113"/>
      <c r="J2" s="110"/>
      <c r="K2" s="110"/>
      <c r="L2" s="110"/>
      <c r="M2" s="108"/>
    </row>
    <row r="3" spans="1:13" ht="17.25">
      <c r="A3" s="108"/>
      <c r="B3" s="111"/>
      <c r="C3" s="112"/>
      <c r="D3" s="122" t="s">
        <v>761</v>
      </c>
      <c r="E3" s="110"/>
      <c r="F3" s="110"/>
      <c r="G3" s="110"/>
      <c r="H3" s="110"/>
      <c r="I3" s="113"/>
      <c r="J3" s="110"/>
      <c r="K3" s="110"/>
      <c r="L3" s="110"/>
      <c r="M3" s="108"/>
    </row>
    <row r="4" spans="1:13" ht="17.25">
      <c r="A4" s="108"/>
      <c r="B4" s="111"/>
      <c r="C4" s="112"/>
      <c r="D4" s="122" t="s">
        <v>762</v>
      </c>
      <c r="E4" s="110"/>
      <c r="F4" s="110"/>
      <c r="G4" s="110"/>
      <c r="H4" s="110"/>
      <c r="I4" s="113"/>
      <c r="J4" s="110"/>
      <c r="K4" s="110"/>
      <c r="L4" s="110"/>
      <c r="M4" s="108"/>
    </row>
    <row r="5" spans="1:13" ht="17.25">
      <c r="A5" s="108"/>
      <c r="B5" s="123"/>
      <c r="C5" s="112"/>
      <c r="D5" s="124"/>
      <c r="E5" s="110"/>
      <c r="F5" s="110"/>
      <c r="G5" s="110"/>
      <c r="H5" s="110"/>
      <c r="I5" s="113"/>
      <c r="J5" s="110"/>
      <c r="K5" s="110"/>
      <c r="L5" s="110"/>
      <c r="M5" s="108"/>
    </row>
    <row r="6" spans="1:13" ht="17.25">
      <c r="A6" s="108"/>
      <c r="B6" s="125" t="s">
        <v>763</v>
      </c>
      <c r="C6" s="3163" t="s">
        <v>764</v>
      </c>
      <c r="D6" s="3163"/>
      <c r="E6" s="3169" t="s">
        <v>765</v>
      </c>
      <c r="F6" s="3169"/>
      <c r="G6" s="3169"/>
      <c r="H6" s="3163" t="s">
        <v>31</v>
      </c>
      <c r="I6" s="3163"/>
      <c r="J6" s="3163" t="s">
        <v>766</v>
      </c>
      <c r="K6" s="3163"/>
      <c r="L6" s="126" t="s">
        <v>767</v>
      </c>
      <c r="M6" s="127"/>
    </row>
    <row r="7" spans="1:13" ht="17.25">
      <c r="A7" s="108"/>
      <c r="B7" s="128"/>
      <c r="C7" s="3163"/>
      <c r="D7" s="3163"/>
      <c r="E7" s="3163"/>
      <c r="F7" s="3163"/>
      <c r="G7" s="3163"/>
      <c r="H7" s="3165"/>
      <c r="I7" s="3165"/>
      <c r="J7" s="3163"/>
      <c r="K7" s="3163"/>
      <c r="L7" s="129"/>
      <c r="M7" s="127"/>
    </row>
    <row r="8" spans="1:13" ht="17.25">
      <c r="A8" s="108"/>
      <c r="B8" s="159">
        <v>2012</v>
      </c>
      <c r="C8" s="3163" t="s">
        <v>1118</v>
      </c>
      <c r="D8" s="3163"/>
      <c r="E8" s="3163" t="s">
        <v>1119</v>
      </c>
      <c r="F8" s="3163"/>
      <c r="G8" s="3163"/>
      <c r="H8" s="3166">
        <v>2066496057</v>
      </c>
      <c r="I8" s="3166"/>
      <c r="J8" s="3165">
        <f t="shared" ref="J8:J13" si="0">(H9-H8)</f>
        <v>0</v>
      </c>
      <c r="K8" s="3165"/>
      <c r="L8" s="129">
        <f>(H8*8)/4617848056</f>
        <v>3.5800156816593187</v>
      </c>
      <c r="M8" s="160"/>
    </row>
    <row r="9" spans="1:13" ht="17.25">
      <c r="A9" s="108"/>
      <c r="B9" s="159">
        <v>2011</v>
      </c>
      <c r="C9" s="3163" t="s">
        <v>1118</v>
      </c>
      <c r="D9" s="3163"/>
      <c r="E9" s="3163" t="s">
        <v>1119</v>
      </c>
      <c r="F9" s="3163"/>
      <c r="G9" s="3163"/>
      <c r="H9" s="3166">
        <v>2066496057</v>
      </c>
      <c r="I9" s="3166"/>
      <c r="J9" s="3165">
        <f t="shared" si="0"/>
        <v>0</v>
      </c>
      <c r="K9" s="3165"/>
      <c r="L9" s="129">
        <f>(H9*8)/4617848056</f>
        <v>3.5800156816593187</v>
      </c>
      <c r="M9" s="160"/>
    </row>
    <row r="10" spans="1:13" ht="17.25">
      <c r="A10" s="108"/>
      <c r="B10" s="132">
        <v>2010</v>
      </c>
      <c r="C10" s="3163" t="s">
        <v>1118</v>
      </c>
      <c r="D10" s="3163"/>
      <c r="E10" s="3163" t="s">
        <v>1119</v>
      </c>
      <c r="F10" s="3163"/>
      <c r="G10" s="3163"/>
      <c r="H10" s="3166">
        <v>2066496057</v>
      </c>
      <c r="I10" s="3166"/>
      <c r="J10" s="3165">
        <f t="shared" si="0"/>
        <v>0</v>
      </c>
      <c r="K10" s="3165"/>
      <c r="L10" s="129">
        <f>(H10*8)/4617848056</f>
        <v>3.5800156816593187</v>
      </c>
      <c r="M10" s="127"/>
    </row>
    <row r="11" spans="1:13" ht="17.25">
      <c r="A11" s="108"/>
      <c r="B11" s="132">
        <v>2009</v>
      </c>
      <c r="C11" s="3163" t="s">
        <v>1118</v>
      </c>
      <c r="D11" s="3163"/>
      <c r="E11" s="3163" t="s">
        <v>1119</v>
      </c>
      <c r="F11" s="3163"/>
      <c r="G11" s="3163"/>
      <c r="H11" s="3166">
        <v>2066496057</v>
      </c>
      <c r="I11" s="3166"/>
      <c r="J11" s="3165">
        <f t="shared" si="0"/>
        <v>0</v>
      </c>
      <c r="K11" s="3165"/>
      <c r="L11" s="129">
        <f>(H11*8)/4617848056</f>
        <v>3.5800156816593187</v>
      </c>
      <c r="M11" s="127"/>
    </row>
    <row r="12" spans="1:13" ht="17.25">
      <c r="A12" s="108"/>
      <c r="B12" s="132">
        <v>2008</v>
      </c>
      <c r="C12" s="3163" t="s">
        <v>1118</v>
      </c>
      <c r="D12" s="3163"/>
      <c r="E12" s="3163" t="s">
        <v>1119</v>
      </c>
      <c r="F12" s="3163"/>
      <c r="G12" s="3163"/>
      <c r="H12" s="3166">
        <v>2066496057</v>
      </c>
      <c r="I12" s="3166"/>
      <c r="J12" s="3165">
        <f t="shared" si="0"/>
        <v>0</v>
      </c>
      <c r="K12" s="3165"/>
      <c r="L12" s="129">
        <f t="shared" ref="L12:L35" si="1">(H12*8)/4617848056</f>
        <v>3.5800156816593187</v>
      </c>
      <c r="M12" s="127"/>
    </row>
    <row r="13" spans="1:13" ht="17.25">
      <c r="A13" s="108"/>
      <c r="B13" s="132">
        <v>2007</v>
      </c>
      <c r="C13" s="3163" t="s">
        <v>1118</v>
      </c>
      <c r="D13" s="3163"/>
      <c r="E13" s="3163" t="s">
        <v>1119</v>
      </c>
      <c r="F13" s="3163"/>
      <c r="G13" s="3163"/>
      <c r="H13" s="3166">
        <v>2066496057</v>
      </c>
      <c r="I13" s="3166"/>
      <c r="J13" s="3165">
        <f t="shared" si="0"/>
        <v>77089519</v>
      </c>
      <c r="K13" s="3165"/>
      <c r="L13" s="129">
        <f t="shared" si="1"/>
        <v>3.5800156816593187</v>
      </c>
      <c r="M13" s="127"/>
    </row>
    <row r="14" spans="1:13" ht="17.25">
      <c r="A14" s="108"/>
      <c r="B14" s="132">
        <v>2006</v>
      </c>
      <c r="C14" s="3163" t="s">
        <v>1087</v>
      </c>
      <c r="D14" s="3163"/>
      <c r="E14" s="3163" t="s">
        <v>809</v>
      </c>
      <c r="F14" s="3163"/>
      <c r="G14" s="3163"/>
      <c r="H14" s="3166">
        <v>2143585576</v>
      </c>
      <c r="I14" s="3166"/>
      <c r="J14" s="3165">
        <f t="shared" ref="J14:J32" si="2">(H15-H14)</f>
        <v>55842095</v>
      </c>
      <c r="K14" s="3165"/>
      <c r="L14" s="129">
        <f t="shared" si="1"/>
        <v>3.7135662325915213</v>
      </c>
      <c r="M14" s="127"/>
    </row>
    <row r="15" spans="1:13" ht="17.25">
      <c r="A15" s="108"/>
      <c r="B15" s="132">
        <v>2005</v>
      </c>
      <c r="C15" s="3163" t="s">
        <v>769</v>
      </c>
      <c r="D15" s="3163"/>
      <c r="E15" s="3163" t="s">
        <v>768</v>
      </c>
      <c r="F15" s="3163"/>
      <c r="G15" s="3163"/>
      <c r="H15" s="3166">
        <v>2199427671</v>
      </c>
      <c r="I15" s="3166"/>
      <c r="J15" s="3165">
        <f t="shared" si="2"/>
        <v>36064449</v>
      </c>
      <c r="K15" s="3165"/>
      <c r="L15" s="129">
        <f t="shared" si="1"/>
        <v>3.8103075620121705</v>
      </c>
      <c r="M15" s="127"/>
    </row>
    <row r="16" spans="1:13" ht="17.25">
      <c r="A16" s="108"/>
      <c r="B16" s="128">
        <v>2004</v>
      </c>
      <c r="C16" s="3163" t="s">
        <v>759</v>
      </c>
      <c r="D16" s="3163"/>
      <c r="E16" s="3163" t="s">
        <v>809</v>
      </c>
      <c r="F16" s="3163"/>
      <c r="G16" s="3163"/>
      <c r="H16" s="3166">
        <v>2235492120</v>
      </c>
      <c r="I16" s="3166"/>
      <c r="J16" s="3165">
        <f t="shared" si="2"/>
        <v>44367194</v>
      </c>
      <c r="K16" s="3165"/>
      <c r="L16" s="129">
        <f t="shared" si="1"/>
        <v>3.8727859260685906</v>
      </c>
      <c r="M16" s="127"/>
    </row>
    <row r="17" spans="1:13" ht="17.25">
      <c r="A17" s="108"/>
      <c r="B17" s="128">
        <v>2003</v>
      </c>
      <c r="C17" s="3163" t="s">
        <v>771</v>
      </c>
      <c r="D17" s="3163"/>
      <c r="E17" s="3163" t="s">
        <v>770</v>
      </c>
      <c r="F17" s="3163"/>
      <c r="G17" s="3163"/>
      <c r="H17" s="3166">
        <v>2279859314</v>
      </c>
      <c r="I17" s="3166"/>
      <c r="J17" s="3165">
        <f t="shared" si="2"/>
        <v>65234924</v>
      </c>
      <c r="K17" s="3165"/>
      <c r="L17" s="129">
        <f t="shared" si="1"/>
        <v>3.9496480375317051</v>
      </c>
      <c r="M17" s="127"/>
    </row>
    <row r="18" spans="1:13" ht="17.25">
      <c r="A18" s="108"/>
      <c r="B18" s="128">
        <v>2002</v>
      </c>
      <c r="C18" s="3163" t="s">
        <v>1088</v>
      </c>
      <c r="D18" s="3163"/>
      <c r="E18" s="3163" t="s">
        <v>1089</v>
      </c>
      <c r="F18" s="3163"/>
      <c r="G18" s="3163"/>
      <c r="H18" s="3166">
        <v>2345094238</v>
      </c>
      <c r="I18" s="3166"/>
      <c r="J18" s="3165">
        <f t="shared" si="2"/>
        <v>45594146</v>
      </c>
      <c r="K18" s="3165"/>
      <c r="L18" s="129">
        <f t="shared" si="1"/>
        <v>4.0626615853295629</v>
      </c>
      <c r="M18" s="127"/>
    </row>
    <row r="19" spans="1:13" ht="17.25">
      <c r="A19" s="108"/>
      <c r="B19" s="128">
        <v>2001</v>
      </c>
      <c r="C19" s="3163" t="s">
        <v>772</v>
      </c>
      <c r="D19" s="3163"/>
      <c r="E19" s="3163" t="s">
        <v>773</v>
      </c>
      <c r="F19" s="3163"/>
      <c r="G19" s="3163"/>
      <c r="H19" s="3166">
        <v>2390688384</v>
      </c>
      <c r="I19" s="3166"/>
      <c r="J19" s="3165">
        <f t="shared" si="2"/>
        <v>97665546</v>
      </c>
      <c r="K19" s="3165"/>
      <c r="L19" s="129">
        <f t="shared" si="1"/>
        <v>4.1416492790727713</v>
      </c>
      <c r="M19" s="127"/>
    </row>
    <row r="20" spans="1:13" ht="17.25">
      <c r="A20" s="108"/>
      <c r="B20" s="128">
        <v>2000</v>
      </c>
      <c r="C20" s="3163" t="s">
        <v>774</v>
      </c>
      <c r="D20" s="3163"/>
      <c r="E20" s="3163" t="s">
        <v>773</v>
      </c>
      <c r="F20" s="3163"/>
      <c r="G20" s="3163"/>
      <c r="H20" s="3166">
        <v>2488353930</v>
      </c>
      <c r="I20" s="3166"/>
      <c r="J20" s="3165">
        <f t="shared" si="2"/>
        <v>0</v>
      </c>
      <c r="K20" s="3165"/>
      <c r="L20" s="129">
        <f t="shared" si="1"/>
        <v>4.3108459175340181</v>
      </c>
      <c r="M20" s="127"/>
    </row>
    <row r="21" spans="1:13" ht="17.25">
      <c r="A21" s="108"/>
      <c r="B21" s="128">
        <v>1999</v>
      </c>
      <c r="C21" s="3163" t="s">
        <v>774</v>
      </c>
      <c r="D21" s="3163"/>
      <c r="E21" s="3163" t="s">
        <v>773</v>
      </c>
      <c r="F21" s="3163"/>
      <c r="G21" s="3163"/>
      <c r="H21" s="3166">
        <v>2488353930</v>
      </c>
      <c r="I21" s="3166"/>
      <c r="J21" s="3165">
        <f t="shared" si="2"/>
        <v>0</v>
      </c>
      <c r="K21" s="3165"/>
      <c r="L21" s="129">
        <f t="shared" si="1"/>
        <v>4.3108459175340181</v>
      </c>
      <c r="M21" s="127"/>
    </row>
    <row r="22" spans="1:13" ht="17.25">
      <c r="A22" s="108"/>
      <c r="B22" s="128">
        <v>1998</v>
      </c>
      <c r="C22" s="3163" t="s">
        <v>774</v>
      </c>
      <c r="D22" s="3163"/>
      <c r="E22" s="3163" t="s">
        <v>773</v>
      </c>
      <c r="F22" s="3163"/>
      <c r="G22" s="3163"/>
      <c r="H22" s="3166">
        <v>2488353930</v>
      </c>
      <c r="I22" s="3166"/>
      <c r="J22" s="3165">
        <f t="shared" si="2"/>
        <v>0</v>
      </c>
      <c r="K22" s="3165"/>
      <c r="L22" s="129">
        <f t="shared" si="1"/>
        <v>4.3108459175340181</v>
      </c>
      <c r="M22" s="127"/>
    </row>
    <row r="23" spans="1:13" ht="17.25">
      <c r="A23" s="108"/>
      <c r="B23" s="128">
        <v>1997</v>
      </c>
      <c r="C23" s="3163" t="s">
        <v>774</v>
      </c>
      <c r="D23" s="3163"/>
      <c r="E23" s="3163" t="s">
        <v>773</v>
      </c>
      <c r="F23" s="3163"/>
      <c r="G23" s="3163"/>
      <c r="H23" s="3166">
        <v>2488353930</v>
      </c>
      <c r="I23" s="3166"/>
      <c r="J23" s="3165">
        <f t="shared" si="2"/>
        <v>126941394</v>
      </c>
      <c r="K23" s="3165"/>
      <c r="L23" s="129">
        <f t="shared" si="1"/>
        <v>4.3108459175340181</v>
      </c>
      <c r="M23" s="127"/>
    </row>
    <row r="24" spans="1:13" ht="17.25">
      <c r="A24" s="108"/>
      <c r="B24" s="128">
        <v>1996</v>
      </c>
      <c r="C24" s="3163" t="s">
        <v>775</v>
      </c>
      <c r="D24" s="3163"/>
      <c r="E24" s="3163" t="s">
        <v>776</v>
      </c>
      <c r="F24" s="3163"/>
      <c r="G24" s="3163"/>
      <c r="H24" s="3166">
        <v>2615295324</v>
      </c>
      <c r="I24" s="3166"/>
      <c r="J24" s="3165">
        <f t="shared" si="2"/>
        <v>0</v>
      </c>
      <c r="K24" s="3165"/>
      <c r="L24" s="129">
        <f t="shared" si="1"/>
        <v>4.5307602888352809</v>
      </c>
      <c r="M24" s="127"/>
    </row>
    <row r="25" spans="1:13" ht="17.25">
      <c r="A25" s="108"/>
      <c r="B25" s="128">
        <v>1995</v>
      </c>
      <c r="C25" s="3163" t="s">
        <v>775</v>
      </c>
      <c r="D25" s="3163"/>
      <c r="E25" s="3163" t="s">
        <v>776</v>
      </c>
      <c r="F25" s="3163"/>
      <c r="G25" s="3163"/>
      <c r="H25" s="3166">
        <v>2615295324</v>
      </c>
      <c r="I25" s="3166"/>
      <c r="J25" s="3165">
        <f t="shared" si="2"/>
        <v>0</v>
      </c>
      <c r="K25" s="3165"/>
      <c r="L25" s="129">
        <f t="shared" si="1"/>
        <v>4.5307602888352809</v>
      </c>
      <c r="M25" s="127"/>
    </row>
    <row r="26" spans="1:13" ht="17.25">
      <c r="A26" s="108"/>
      <c r="B26" s="128">
        <v>1994</v>
      </c>
      <c r="C26" s="3163" t="s">
        <v>775</v>
      </c>
      <c r="D26" s="3163"/>
      <c r="E26" s="3163" t="s">
        <v>776</v>
      </c>
      <c r="F26" s="3163"/>
      <c r="G26" s="3163"/>
      <c r="H26" s="3166">
        <v>2615295324</v>
      </c>
      <c r="I26" s="3166"/>
      <c r="J26" s="3165">
        <f t="shared" si="2"/>
        <v>0</v>
      </c>
      <c r="K26" s="3165"/>
      <c r="L26" s="129">
        <f t="shared" si="1"/>
        <v>4.5307602888352809</v>
      </c>
      <c r="M26" s="127"/>
    </row>
    <row r="27" spans="1:13" ht="17.25">
      <c r="A27" s="108"/>
      <c r="B27" s="128">
        <v>1993</v>
      </c>
      <c r="C27" s="3163" t="s">
        <v>775</v>
      </c>
      <c r="D27" s="3163"/>
      <c r="E27" s="3163" t="s">
        <v>776</v>
      </c>
      <c r="F27" s="3163"/>
      <c r="G27" s="3163"/>
      <c r="H27" s="3166">
        <v>2615295324</v>
      </c>
      <c r="I27" s="3166"/>
      <c r="J27" s="3165">
        <f t="shared" si="2"/>
        <v>0</v>
      </c>
      <c r="K27" s="3165"/>
      <c r="L27" s="129">
        <f t="shared" si="1"/>
        <v>4.5307602888352809</v>
      </c>
      <c r="M27" s="127"/>
    </row>
    <row r="28" spans="1:13" ht="17.25">
      <c r="A28" s="108"/>
      <c r="B28" s="128">
        <v>1992</v>
      </c>
      <c r="C28" s="3163" t="s">
        <v>775</v>
      </c>
      <c r="D28" s="3163"/>
      <c r="E28" s="3163" t="s">
        <v>776</v>
      </c>
      <c r="F28" s="3163"/>
      <c r="G28" s="3163"/>
      <c r="H28" s="3166">
        <v>2615295324</v>
      </c>
      <c r="I28" s="3166"/>
      <c r="J28" s="3165">
        <f t="shared" si="2"/>
        <v>0</v>
      </c>
      <c r="K28" s="3165"/>
      <c r="L28" s="129">
        <f t="shared" si="1"/>
        <v>4.5307602888352809</v>
      </c>
      <c r="M28" s="127"/>
    </row>
    <row r="29" spans="1:13" ht="17.25">
      <c r="A29" s="108"/>
      <c r="B29" s="128">
        <v>1991</v>
      </c>
      <c r="C29" s="3163" t="s">
        <v>775</v>
      </c>
      <c r="D29" s="3163"/>
      <c r="E29" s="3163" t="s">
        <v>776</v>
      </c>
      <c r="F29" s="3163"/>
      <c r="G29" s="3163"/>
      <c r="H29" s="3166">
        <v>2615295324</v>
      </c>
      <c r="I29" s="3166"/>
      <c r="J29" s="3165">
        <f t="shared" si="2"/>
        <v>347647022</v>
      </c>
      <c r="K29" s="3165"/>
      <c r="L29" s="129">
        <f t="shared" si="1"/>
        <v>4.5307602888352809</v>
      </c>
      <c r="M29" s="127"/>
    </row>
    <row r="30" spans="1:13" ht="17.25">
      <c r="A30" s="108"/>
      <c r="B30" s="128">
        <v>1990</v>
      </c>
      <c r="C30" s="3163" t="s">
        <v>777</v>
      </c>
      <c r="D30" s="3163"/>
      <c r="E30" s="3164" t="s">
        <v>778</v>
      </c>
      <c r="F30" s="3164"/>
      <c r="G30" s="3164"/>
      <c r="H30" s="3166">
        <v>2962942346</v>
      </c>
      <c r="I30" s="3166"/>
      <c r="J30" s="3165">
        <f t="shared" si="2"/>
        <v>84079655</v>
      </c>
      <c r="K30" s="3165"/>
      <c r="L30" s="129">
        <f t="shared" si="1"/>
        <v>5.1330270031734448</v>
      </c>
      <c r="M30" s="127"/>
    </row>
    <row r="31" spans="1:13" ht="17.25">
      <c r="A31" s="108"/>
      <c r="B31" s="128">
        <v>1989</v>
      </c>
      <c r="C31" s="3163" t="s">
        <v>779</v>
      </c>
      <c r="D31" s="3163"/>
      <c r="E31" s="3164" t="s">
        <v>778</v>
      </c>
      <c r="F31" s="3164"/>
      <c r="G31" s="3164"/>
      <c r="H31" s="3166">
        <v>3047022001</v>
      </c>
      <c r="I31" s="3166"/>
      <c r="J31" s="3165">
        <f t="shared" si="2"/>
        <v>71835663</v>
      </c>
      <c r="K31" s="3165"/>
      <c r="L31" s="129">
        <f t="shared" si="1"/>
        <v>5.2786873263029683</v>
      </c>
      <c r="M31" s="127"/>
    </row>
    <row r="32" spans="1:13" ht="17.25">
      <c r="A32" s="108"/>
      <c r="B32" s="128">
        <v>1988</v>
      </c>
      <c r="C32" s="3163" t="s">
        <v>780</v>
      </c>
      <c r="D32" s="3163"/>
      <c r="E32" s="3164" t="s">
        <v>781</v>
      </c>
      <c r="F32" s="3164"/>
      <c r="G32" s="3164"/>
      <c r="H32" s="3166">
        <v>3118857664</v>
      </c>
      <c r="I32" s="3166"/>
      <c r="J32" s="3165">
        <f t="shared" si="2"/>
        <v>557525468</v>
      </c>
      <c r="K32" s="3165"/>
      <c r="L32" s="129">
        <f t="shared" si="1"/>
        <v>5.40313605156003</v>
      </c>
      <c r="M32" s="127"/>
    </row>
    <row r="33" spans="1:13" ht="17.25">
      <c r="A33" s="108"/>
      <c r="B33" s="128">
        <v>1987</v>
      </c>
      <c r="C33" s="3163" t="s">
        <v>782</v>
      </c>
      <c r="D33" s="3163"/>
      <c r="E33" s="3164" t="s">
        <v>783</v>
      </c>
      <c r="F33" s="3164"/>
      <c r="G33" s="3164"/>
      <c r="H33" s="3166">
        <v>3676383132</v>
      </c>
      <c r="I33" s="3166"/>
      <c r="J33" s="3165">
        <f>(H34-H33)</f>
        <v>862932616</v>
      </c>
      <c r="K33" s="3165"/>
      <c r="L33" s="129">
        <f t="shared" si="1"/>
        <v>6.3689980049876285</v>
      </c>
      <c r="M33" s="127"/>
    </row>
    <row r="34" spans="1:13" ht="17.25">
      <c r="A34" s="108"/>
      <c r="B34" s="128">
        <v>1986</v>
      </c>
      <c r="C34" s="3163" t="s">
        <v>784</v>
      </c>
      <c r="D34" s="3163"/>
      <c r="E34" s="3164" t="s">
        <v>785</v>
      </c>
      <c r="F34" s="3164"/>
      <c r="G34" s="3164"/>
      <c r="H34" s="3165">
        <v>4539315748</v>
      </c>
      <c r="I34" s="3165"/>
      <c r="J34" s="3165">
        <f>(J36-H34)</f>
        <v>199341945</v>
      </c>
      <c r="K34" s="3165"/>
      <c r="L34" s="129">
        <f t="shared" si="1"/>
        <v>7.8639499488980151</v>
      </c>
      <c r="M34" s="127"/>
    </row>
    <row r="35" spans="1:13" ht="17.25">
      <c r="A35" s="108"/>
      <c r="B35" s="128">
        <v>1985</v>
      </c>
      <c r="C35" s="3163" t="s">
        <v>786</v>
      </c>
      <c r="D35" s="3163"/>
      <c r="E35" s="3164" t="s">
        <v>787</v>
      </c>
      <c r="F35" s="3164"/>
      <c r="G35" s="3164"/>
      <c r="H35" s="3165">
        <v>5563062346</v>
      </c>
      <c r="I35" s="3165"/>
      <c r="J35" s="3165">
        <f>(J36-H35)</f>
        <v>-824404653</v>
      </c>
      <c r="K35" s="3165"/>
      <c r="L35" s="129">
        <f t="shared" si="1"/>
        <v>9.6374974291705016</v>
      </c>
      <c r="M35" s="127"/>
    </row>
    <row r="36" spans="1:13" ht="17.25">
      <c r="A36" s="108"/>
      <c r="B36" s="131"/>
      <c r="C36" s="131"/>
      <c r="D36" s="133"/>
      <c r="E36" s="134"/>
      <c r="F36" s="135"/>
      <c r="G36" s="135"/>
      <c r="H36" s="136"/>
      <c r="I36" s="135"/>
      <c r="J36" s="137">
        <v>4738657693</v>
      </c>
      <c r="K36" s="135"/>
      <c r="L36" s="138"/>
      <c r="M36" s="139"/>
    </row>
    <row r="37" spans="1:13" ht="17.25">
      <c r="A37" s="108"/>
      <c r="B37" s="131"/>
      <c r="C37" s="131"/>
      <c r="D37" s="133"/>
      <c r="E37" s="134"/>
      <c r="F37" s="135"/>
      <c r="G37" s="135"/>
      <c r="H37" s="136"/>
      <c r="I37" s="135"/>
      <c r="J37" s="136"/>
      <c r="K37" s="135"/>
      <c r="L37" s="138"/>
      <c r="M37" s="139"/>
    </row>
    <row r="38" spans="1:13" ht="19.5">
      <c r="A38" s="108"/>
      <c r="B38" s="131"/>
      <c r="C38" s="130" t="s">
        <v>788</v>
      </c>
      <c r="D38" s="133"/>
      <c r="E38" s="134"/>
      <c r="F38" s="135"/>
      <c r="G38" s="135"/>
      <c r="H38" s="136"/>
      <c r="I38" s="135"/>
      <c r="J38" s="136"/>
      <c r="K38" s="135"/>
      <c r="L38" s="138"/>
      <c r="M38" s="139"/>
    </row>
    <row r="39" spans="1:13" ht="17.25">
      <c r="A39" s="108"/>
      <c r="B39" s="131"/>
      <c r="C39" s="130" t="s">
        <v>789</v>
      </c>
      <c r="D39" s="133"/>
      <c r="E39" s="134"/>
      <c r="F39" s="135"/>
      <c r="G39" s="135"/>
      <c r="H39" s="136"/>
      <c r="I39" s="135"/>
      <c r="J39" s="136"/>
      <c r="K39" s="135"/>
      <c r="L39" s="138"/>
      <c r="M39" s="139"/>
    </row>
    <row r="40" spans="1:13" ht="17.25">
      <c r="A40" s="108"/>
      <c r="B40" s="131"/>
      <c r="C40" s="130" t="s">
        <v>790</v>
      </c>
      <c r="D40" s="133"/>
      <c r="E40" s="134"/>
      <c r="F40" s="135"/>
      <c r="G40" s="135"/>
      <c r="H40" s="136"/>
      <c r="I40" s="135"/>
      <c r="J40" s="136"/>
      <c r="K40" s="135"/>
      <c r="L40" s="138"/>
      <c r="M40" s="139"/>
    </row>
    <row r="41" spans="1:13" ht="17.25">
      <c r="A41" s="108"/>
      <c r="B41" s="131"/>
      <c r="C41" s="130" t="s">
        <v>791</v>
      </c>
      <c r="D41" s="133"/>
      <c r="E41" s="134"/>
      <c r="F41" s="135"/>
      <c r="G41" s="135"/>
      <c r="H41" s="136"/>
      <c r="I41" s="135"/>
      <c r="J41" s="136"/>
      <c r="K41" s="135"/>
      <c r="L41" s="138"/>
      <c r="M41" s="139"/>
    </row>
    <row r="42" spans="1:13" ht="19.5">
      <c r="A42" s="108"/>
      <c r="B42" s="131"/>
      <c r="C42" s="130" t="s">
        <v>792</v>
      </c>
      <c r="D42" s="133"/>
      <c r="E42" s="134"/>
      <c r="F42" s="135"/>
      <c r="G42" s="135"/>
      <c r="H42" s="136"/>
      <c r="I42" s="135"/>
      <c r="J42" s="136"/>
      <c r="K42" s="135"/>
      <c r="L42" s="138"/>
      <c r="M42" s="139"/>
    </row>
    <row r="43" spans="1:13" ht="17.25">
      <c r="A43" s="108"/>
      <c r="B43" s="131"/>
      <c r="C43" s="130" t="s">
        <v>793</v>
      </c>
      <c r="D43" s="133"/>
      <c r="E43" s="134"/>
      <c r="F43" s="135"/>
      <c r="G43" s="135"/>
      <c r="H43" s="136"/>
      <c r="I43" s="135"/>
      <c r="J43" s="136"/>
      <c r="K43" s="135"/>
      <c r="L43" s="138"/>
      <c r="M43" s="139"/>
    </row>
    <row r="44" spans="1:13" ht="17.25">
      <c r="A44" s="108"/>
      <c r="B44" s="131"/>
      <c r="C44" s="130" t="s">
        <v>794</v>
      </c>
      <c r="D44" s="133"/>
      <c r="E44" s="134"/>
      <c r="F44" s="135"/>
      <c r="G44" s="135"/>
      <c r="H44" s="136"/>
      <c r="I44" s="135"/>
      <c r="J44" s="136"/>
      <c r="K44" s="135"/>
      <c r="L44" s="138"/>
      <c r="M44" s="139"/>
    </row>
    <row r="45" spans="1:13" ht="17.25">
      <c r="A45" s="108"/>
      <c r="B45" s="131"/>
      <c r="C45" s="130" t="s">
        <v>795</v>
      </c>
      <c r="D45" s="133"/>
      <c r="E45" s="134"/>
      <c r="F45" s="135"/>
      <c r="G45" s="135"/>
      <c r="H45" s="136"/>
      <c r="I45" s="135"/>
      <c r="J45" s="136"/>
      <c r="K45" s="135"/>
      <c r="L45" s="138"/>
      <c r="M45" s="139"/>
    </row>
    <row r="46" spans="1:13" ht="17.25">
      <c r="A46" s="108"/>
      <c r="B46" s="131"/>
      <c r="C46" s="130" t="s">
        <v>796</v>
      </c>
      <c r="D46" s="133"/>
      <c r="E46" s="134"/>
      <c r="F46" s="135"/>
      <c r="G46" s="135"/>
      <c r="H46" s="136"/>
      <c r="I46" s="135"/>
      <c r="J46" s="136"/>
      <c r="K46" s="135"/>
      <c r="L46" s="138"/>
      <c r="M46" s="139"/>
    </row>
    <row r="47" spans="1:13" ht="17.25">
      <c r="A47" s="108"/>
      <c r="B47" s="131"/>
      <c r="C47" s="130" t="s">
        <v>797</v>
      </c>
      <c r="D47" s="133"/>
      <c r="E47" s="134"/>
      <c r="F47" s="135"/>
      <c r="G47" s="135"/>
      <c r="H47" s="136"/>
      <c r="I47" s="135"/>
      <c r="J47" s="136"/>
      <c r="K47" s="135"/>
      <c r="L47" s="138"/>
      <c r="M47" s="139"/>
    </row>
    <row r="48" spans="1:13" ht="17.25">
      <c r="A48" s="108"/>
      <c r="B48" s="131"/>
      <c r="C48" s="130" t="s">
        <v>798</v>
      </c>
      <c r="D48" s="133"/>
      <c r="E48" s="134"/>
      <c r="F48" s="135"/>
      <c r="G48" s="135"/>
      <c r="H48" s="136"/>
      <c r="I48" s="135"/>
      <c r="J48" s="136"/>
      <c r="K48" s="135"/>
      <c r="L48" s="138"/>
      <c r="M48" s="139"/>
    </row>
    <row r="49" spans="1:13" ht="17.25">
      <c r="A49" s="108"/>
      <c r="B49" s="131"/>
      <c r="C49" s="130" t="s">
        <v>799</v>
      </c>
      <c r="D49" s="133"/>
      <c r="E49" s="134"/>
      <c r="F49" s="135"/>
      <c r="G49" s="135"/>
      <c r="H49" s="136"/>
      <c r="I49" s="135"/>
      <c r="J49" s="136"/>
      <c r="K49" s="135"/>
      <c r="L49" s="138"/>
      <c r="M49" s="139"/>
    </row>
    <row r="50" spans="1:13" ht="17.25">
      <c r="A50" s="108"/>
      <c r="B50" s="131"/>
      <c r="C50" s="130" t="s">
        <v>800</v>
      </c>
      <c r="D50" s="133"/>
      <c r="E50" s="134"/>
      <c r="F50" s="135"/>
      <c r="G50" s="135"/>
      <c r="H50" s="136"/>
      <c r="I50" s="135"/>
      <c r="J50" s="136"/>
      <c r="K50" s="135"/>
      <c r="L50" s="138"/>
      <c r="M50" s="139"/>
    </row>
    <row r="51" spans="1:13" ht="17.25">
      <c r="A51" s="108"/>
      <c r="B51" s="131"/>
      <c r="C51" s="130" t="s">
        <v>801</v>
      </c>
      <c r="D51" s="133"/>
      <c r="E51" s="134"/>
      <c r="F51" s="135"/>
      <c r="G51" s="135"/>
      <c r="H51" s="136"/>
      <c r="I51" s="135"/>
      <c r="J51" s="136"/>
      <c r="K51" s="135"/>
      <c r="L51" s="138"/>
      <c r="M51" s="139"/>
    </row>
    <row r="52" spans="1:13" ht="17.25">
      <c r="A52" s="108"/>
      <c r="B52" s="131"/>
      <c r="C52" s="130" t="s">
        <v>802</v>
      </c>
      <c r="D52" s="133"/>
      <c r="E52" s="134"/>
      <c r="F52" s="135"/>
      <c r="G52" s="135"/>
      <c r="H52" s="136"/>
      <c r="I52" s="135"/>
      <c r="J52" s="136"/>
      <c r="K52" s="135"/>
      <c r="L52" s="138"/>
      <c r="M52" s="139"/>
    </row>
    <row r="53" spans="1:13" ht="17.25">
      <c r="A53" s="108"/>
      <c r="B53" s="131"/>
      <c r="C53" s="130" t="s">
        <v>803</v>
      </c>
      <c r="D53" s="133"/>
      <c r="E53" s="134"/>
      <c r="F53" s="135"/>
      <c r="G53" s="135"/>
      <c r="H53" s="136"/>
      <c r="I53" s="135"/>
      <c r="J53" s="136"/>
      <c r="K53" s="135"/>
      <c r="L53" s="138"/>
      <c r="M53" s="139"/>
    </row>
    <row r="54" spans="1:13" ht="17.25">
      <c r="A54" s="108"/>
      <c r="B54" s="131"/>
      <c r="C54" s="130" t="s">
        <v>804</v>
      </c>
      <c r="D54" s="133"/>
      <c r="E54" s="134"/>
      <c r="F54" s="135"/>
      <c r="G54" s="135"/>
      <c r="H54" s="136"/>
      <c r="I54" s="135"/>
      <c r="J54" s="136"/>
      <c r="K54" s="135"/>
      <c r="L54" s="138"/>
      <c r="M54" s="139"/>
    </row>
    <row r="55" spans="1:13" ht="15" customHeight="1"/>
    <row r="56" spans="1:13" ht="15" customHeight="1"/>
    <row r="57" spans="1:13" ht="15" customHeight="1"/>
    <row r="58" spans="1:13" ht="15" customHeight="1"/>
    <row r="59" spans="1:13" ht="15" customHeight="1"/>
    <row r="60" spans="1:13" ht="15" customHeight="1"/>
    <row r="61" spans="1:13" ht="15" customHeight="1"/>
    <row r="62" spans="1:13" ht="15" customHeight="1"/>
    <row r="63" spans="1:13" ht="15" customHeight="1"/>
    <row r="64" spans="1:1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</sheetData>
  <sortState ref="B494:J596">
    <sortCondition ref="B596"/>
  </sortState>
  <mergeCells count="121">
    <mergeCell ref="H7:I7"/>
    <mergeCell ref="J15:K15"/>
    <mergeCell ref="B2:C2"/>
    <mergeCell ref="C6:D6"/>
    <mergeCell ref="E6:G6"/>
    <mergeCell ref="H6:I6"/>
    <mergeCell ref="J6:K6"/>
    <mergeCell ref="C11:D11"/>
    <mergeCell ref="E11:G11"/>
    <mergeCell ref="H11:I11"/>
    <mergeCell ref="J11:K11"/>
    <mergeCell ref="C10:D10"/>
    <mergeCell ref="E10:G10"/>
    <mergeCell ref="H10:I10"/>
    <mergeCell ref="J10:K10"/>
    <mergeCell ref="C9:D9"/>
    <mergeCell ref="E9:G9"/>
    <mergeCell ref="H9:I9"/>
    <mergeCell ref="J9:K9"/>
    <mergeCell ref="C8:D8"/>
    <mergeCell ref="E8:G8"/>
    <mergeCell ref="H8:I8"/>
    <mergeCell ref="J8:K8"/>
    <mergeCell ref="C7:D7"/>
    <mergeCell ref="E7:G7"/>
    <mergeCell ref="J7:K7"/>
    <mergeCell ref="C12:D12"/>
    <mergeCell ref="E12:G12"/>
    <mergeCell ref="H12:I12"/>
    <mergeCell ref="J12:K12"/>
    <mergeCell ref="C19:D19"/>
    <mergeCell ref="E19:G19"/>
    <mergeCell ref="H19:I19"/>
    <mergeCell ref="J19:K19"/>
    <mergeCell ref="C16:D16"/>
    <mergeCell ref="E16:G16"/>
    <mergeCell ref="H16:I16"/>
    <mergeCell ref="J16:K16"/>
    <mergeCell ref="C13:D13"/>
    <mergeCell ref="E13:G13"/>
    <mergeCell ref="H13:I13"/>
    <mergeCell ref="J13:K13"/>
    <mergeCell ref="C14:D14"/>
    <mergeCell ref="E14:G14"/>
    <mergeCell ref="H14:I14"/>
    <mergeCell ref="J14:K14"/>
    <mergeCell ref="C15:D15"/>
    <mergeCell ref="E15:G15"/>
    <mergeCell ref="H15:I15"/>
    <mergeCell ref="C20:D20"/>
    <mergeCell ref="E20:G20"/>
    <mergeCell ref="H20:I20"/>
    <mergeCell ref="J20:K20"/>
    <mergeCell ref="C17:D17"/>
    <mergeCell ref="E17:G17"/>
    <mergeCell ref="H17:I17"/>
    <mergeCell ref="J17:K17"/>
    <mergeCell ref="C18:D18"/>
    <mergeCell ref="E18:G18"/>
    <mergeCell ref="H18:I18"/>
    <mergeCell ref="J18:K18"/>
    <mergeCell ref="C23:D23"/>
    <mergeCell ref="E23:G23"/>
    <mergeCell ref="H23:I23"/>
    <mergeCell ref="J23:K23"/>
    <mergeCell ref="C24:D24"/>
    <mergeCell ref="E24:G24"/>
    <mergeCell ref="H24:I24"/>
    <mergeCell ref="J24:K24"/>
    <mergeCell ref="C21:D21"/>
    <mergeCell ref="E21:G21"/>
    <mergeCell ref="H21:I21"/>
    <mergeCell ref="J21:K21"/>
    <mergeCell ref="C22:D22"/>
    <mergeCell ref="E22:G22"/>
    <mergeCell ref="H22:I22"/>
    <mergeCell ref="J22:K22"/>
    <mergeCell ref="C27:D27"/>
    <mergeCell ref="E27:G27"/>
    <mergeCell ref="H27:I27"/>
    <mergeCell ref="J27:K27"/>
    <mergeCell ref="C28:D28"/>
    <mergeCell ref="E28:G28"/>
    <mergeCell ref="H28:I28"/>
    <mergeCell ref="J28:K28"/>
    <mergeCell ref="C25:D25"/>
    <mergeCell ref="E25:G25"/>
    <mergeCell ref="H25:I25"/>
    <mergeCell ref="J25:K25"/>
    <mergeCell ref="C26:D26"/>
    <mergeCell ref="E26:G26"/>
    <mergeCell ref="H26:I26"/>
    <mergeCell ref="J26:K26"/>
    <mergeCell ref="C31:D31"/>
    <mergeCell ref="E31:G31"/>
    <mergeCell ref="H31:I31"/>
    <mergeCell ref="J31:K31"/>
    <mergeCell ref="C32:D32"/>
    <mergeCell ref="E32:G32"/>
    <mergeCell ref="H32:I32"/>
    <mergeCell ref="J32:K32"/>
    <mergeCell ref="C29:D29"/>
    <mergeCell ref="E29:G29"/>
    <mergeCell ref="H29:I29"/>
    <mergeCell ref="J29:K29"/>
    <mergeCell ref="C30:D30"/>
    <mergeCell ref="E30:G30"/>
    <mergeCell ref="H30:I30"/>
    <mergeCell ref="J30:K30"/>
    <mergeCell ref="C35:D35"/>
    <mergeCell ref="E35:G35"/>
    <mergeCell ref="H35:I35"/>
    <mergeCell ref="J35:K35"/>
    <mergeCell ref="C33:D33"/>
    <mergeCell ref="E33:G33"/>
    <mergeCell ref="H33:I33"/>
    <mergeCell ref="J33:K33"/>
    <mergeCell ref="C34:D34"/>
    <mergeCell ref="E34:G34"/>
    <mergeCell ref="H34:I34"/>
    <mergeCell ref="J34:K34"/>
  </mergeCells>
  <pageMargins left="0.7" right="0.7" top="0.75" bottom="0.75" header="0.3" footer="0.3"/>
  <pageSetup paperSize="9" orientation="portrait" r:id="rId1"/>
  <picture r:id="rId2"/>
  <webPublishItems count="2">
    <webPublishItem id="8394" divId="Squeeze Chart 2009 XML INSTALLER_8394" sourceType="range" sourceRef="B1:L35" destinationFile="H:\year.htm"/>
    <webPublishItem id="18431" divId="Squeeze Chart 2009_18431" sourceType="range" sourceRef="B1:L54" destinationFile="J:\# Jan Ondrus MOD\world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J83"/>
  <sheetViews>
    <sheetView topLeftCell="A2" workbookViewId="0">
      <pane xSplit="3" ySplit="5" topLeftCell="D7" activePane="bottomRight" state="frozen"/>
      <selection activeCell="A2" sqref="A2"/>
      <selection pane="topRight" activeCell="D2" sqref="D2"/>
      <selection pane="bottomLeft" activeCell="A7" sqref="A7"/>
      <selection pane="bottomRight" activeCell="A4" sqref="A4"/>
    </sheetView>
  </sheetViews>
  <sheetFormatPr baseColWidth="10" defaultColWidth="0" defaultRowHeight="12.75" zeroHeight="1"/>
  <cols>
    <col min="1" max="1" width="23.7109375" style="1" customWidth="1"/>
    <col min="2" max="2" width="16.85546875" style="1" customWidth="1"/>
    <col min="3" max="3" width="15.42578125" style="1" customWidth="1"/>
    <col min="4" max="4" width="14" style="1" customWidth="1"/>
    <col min="5" max="5" width="15.7109375" style="1" customWidth="1"/>
    <col min="6" max="8" width="12.5703125" style="1" customWidth="1"/>
    <col min="9" max="9" width="16.140625" style="1" customWidth="1"/>
    <col min="10" max="12" width="12.5703125" style="1" customWidth="1"/>
    <col min="13" max="13" width="14.85546875" style="1" customWidth="1"/>
    <col min="14" max="14" width="12.5703125" style="1" customWidth="1"/>
    <col min="15" max="15" width="14.28515625" style="1" customWidth="1"/>
    <col min="16" max="19" width="12.5703125" style="1" customWidth="1"/>
    <col min="20" max="20" width="15.7109375" style="1" customWidth="1"/>
    <col min="21" max="24" width="12.5703125" style="1" customWidth="1"/>
    <col min="25" max="25" width="17.5703125" style="1" customWidth="1"/>
    <col min="26" max="26" width="13.85546875" style="1" customWidth="1"/>
    <col min="27" max="28" width="12.5703125" style="1" customWidth="1"/>
    <col min="29" max="29" width="13.28515625" style="1" customWidth="1"/>
    <col min="30" max="32" width="12.5703125" style="1" customWidth="1"/>
    <col min="33" max="33" width="13.85546875" style="1" customWidth="1"/>
    <col min="34" max="35" width="12.5703125" style="1" customWidth="1"/>
    <col min="36" max="36" width="15.140625" style="1" customWidth="1"/>
    <col min="37" max="16384" width="9.140625" style="1" hidden="1"/>
  </cols>
  <sheetData>
    <row r="1" spans="1:36" ht="12.75" customHeight="1">
      <c r="A1" s="5"/>
      <c r="B1" s="5"/>
      <c r="C1" s="3182" t="s">
        <v>1625</v>
      </c>
      <c r="D1" s="3182"/>
      <c r="E1" s="3182"/>
      <c r="F1" s="3182"/>
      <c r="G1" s="3182"/>
      <c r="H1" s="3182"/>
      <c r="I1" s="3182"/>
      <c r="J1" s="3182"/>
      <c r="K1" s="3182"/>
      <c r="L1" s="3182"/>
      <c r="M1" s="3182"/>
      <c r="N1" s="3182"/>
      <c r="O1" s="3182"/>
      <c r="P1" s="3182"/>
      <c r="Q1" s="3182"/>
      <c r="R1" s="3182"/>
      <c r="S1" s="3182"/>
      <c r="T1" s="3182" t="s">
        <v>1625</v>
      </c>
      <c r="U1" s="3182"/>
      <c r="V1" s="3182"/>
      <c r="W1" s="3182"/>
      <c r="X1" s="3182"/>
      <c r="Y1" s="3182"/>
      <c r="Z1" s="3182"/>
      <c r="AA1" s="3182"/>
      <c r="AB1" s="3182"/>
      <c r="AC1" s="3182"/>
      <c r="AD1" s="3182"/>
      <c r="AE1" s="3182"/>
      <c r="AF1" s="3182"/>
      <c r="AG1" s="3182"/>
      <c r="AH1" s="3182"/>
      <c r="AI1" s="3182"/>
      <c r="AJ1" s="3182"/>
    </row>
    <row r="2" spans="1:36" ht="18" customHeight="1">
      <c r="A2" s="183">
        <f ca="1">NOW()</f>
        <v>41295.601211689813</v>
      </c>
      <c r="B2" s="5"/>
      <c r="C2" s="3182"/>
      <c r="D2" s="3182"/>
      <c r="E2" s="3182"/>
      <c r="F2" s="3182"/>
      <c r="G2" s="3182"/>
      <c r="H2" s="3182"/>
      <c r="I2" s="3182"/>
      <c r="J2" s="3182"/>
      <c r="K2" s="3182"/>
      <c r="L2" s="3182"/>
      <c r="M2" s="3182"/>
      <c r="N2" s="3182"/>
      <c r="O2" s="3182"/>
      <c r="P2" s="3182"/>
      <c r="Q2" s="3182"/>
      <c r="R2" s="3182"/>
      <c r="S2" s="3182"/>
      <c r="T2" s="3182"/>
      <c r="U2" s="3182"/>
      <c r="V2" s="3182"/>
      <c r="W2" s="3182"/>
      <c r="X2" s="3182"/>
      <c r="Y2" s="3182"/>
      <c r="Z2" s="3182"/>
      <c r="AA2" s="3182"/>
      <c r="AB2" s="3182"/>
      <c r="AC2" s="3182"/>
      <c r="AD2" s="3182"/>
      <c r="AE2" s="3182"/>
      <c r="AF2" s="3182"/>
      <c r="AG2" s="3182"/>
      <c r="AH2" s="3182"/>
      <c r="AI2" s="3182"/>
      <c r="AJ2" s="3182"/>
    </row>
    <row r="3" spans="1:36" ht="12.75" customHeight="1">
      <c r="A3" s="23"/>
      <c r="B3" s="5"/>
      <c r="C3" s="3182"/>
      <c r="D3" s="3182"/>
      <c r="E3" s="3182"/>
      <c r="F3" s="3182"/>
      <c r="G3" s="3182"/>
      <c r="H3" s="3182"/>
      <c r="I3" s="3182"/>
      <c r="J3" s="3182"/>
      <c r="K3" s="3182"/>
      <c r="L3" s="3182"/>
      <c r="M3" s="3182"/>
      <c r="N3" s="3182"/>
      <c r="O3" s="3182"/>
      <c r="P3" s="3182"/>
      <c r="Q3" s="3182"/>
      <c r="R3" s="3182"/>
      <c r="S3" s="3182"/>
      <c r="T3" s="3182"/>
      <c r="U3" s="3182"/>
      <c r="V3" s="3182"/>
      <c r="W3" s="3182"/>
      <c r="X3" s="3182"/>
      <c r="Y3" s="3182"/>
      <c r="Z3" s="3182"/>
      <c r="AA3" s="3182"/>
      <c r="AB3" s="3182"/>
      <c r="AC3" s="3182"/>
      <c r="AD3" s="3182"/>
      <c r="AE3" s="3182"/>
      <c r="AF3" s="3182"/>
      <c r="AG3" s="3182"/>
      <c r="AH3" s="3182"/>
      <c r="AI3" s="3182"/>
      <c r="AJ3" s="3182"/>
    </row>
    <row r="4" spans="1:36" ht="12.75" customHeight="1">
      <c r="A4" s="5"/>
      <c r="B4" s="5"/>
      <c r="C4" s="3182"/>
      <c r="D4" s="3182"/>
      <c r="E4" s="3182"/>
      <c r="F4" s="3182"/>
      <c r="G4" s="3182"/>
      <c r="H4" s="3182"/>
      <c r="I4" s="3182"/>
      <c r="J4" s="3182"/>
      <c r="K4" s="3182"/>
      <c r="L4" s="3182"/>
      <c r="M4" s="3182"/>
      <c r="N4" s="3182"/>
      <c r="O4" s="3182"/>
      <c r="P4" s="3182"/>
      <c r="Q4" s="3182"/>
      <c r="R4" s="3182"/>
      <c r="S4" s="3182"/>
      <c r="T4" s="3182"/>
      <c r="U4" s="3182"/>
      <c r="V4" s="3182"/>
      <c r="W4" s="3182"/>
      <c r="X4" s="3182"/>
      <c r="Y4" s="3182"/>
      <c r="Z4" s="3182"/>
      <c r="AA4" s="3182"/>
      <c r="AB4" s="3182"/>
      <c r="AC4" s="3182"/>
      <c r="AD4" s="3182"/>
      <c r="AE4" s="3182"/>
      <c r="AF4" s="3182"/>
      <c r="AG4" s="3182"/>
      <c r="AH4" s="3182"/>
      <c r="AI4" s="3182"/>
      <c r="AJ4" s="3182"/>
    </row>
    <row r="5" spans="1:36" ht="12.75" customHeight="1">
      <c r="A5" s="5"/>
      <c r="B5" s="5"/>
      <c r="C5" s="3182"/>
      <c r="D5" s="3182"/>
      <c r="E5" s="3182"/>
      <c r="F5" s="3182"/>
      <c r="G5" s="3182"/>
      <c r="H5" s="3182"/>
      <c r="I5" s="3182"/>
      <c r="J5" s="3182"/>
      <c r="K5" s="3182"/>
      <c r="L5" s="3182"/>
      <c r="M5" s="3182"/>
      <c r="N5" s="3182"/>
      <c r="O5" s="3182"/>
      <c r="P5" s="3182"/>
      <c r="Q5" s="3182"/>
      <c r="R5" s="3182"/>
      <c r="S5" s="3182"/>
      <c r="T5" s="3182"/>
      <c r="U5" s="3182"/>
      <c r="V5" s="3182"/>
      <c r="W5" s="3182"/>
      <c r="X5" s="3182"/>
      <c r="Y5" s="3182"/>
      <c r="Z5" s="3182"/>
      <c r="AA5" s="3182"/>
      <c r="AB5" s="3182"/>
      <c r="AC5" s="3182"/>
      <c r="AD5" s="3182"/>
      <c r="AE5" s="3182"/>
      <c r="AF5" s="3182"/>
      <c r="AG5" s="3182"/>
      <c r="AH5" s="3182"/>
      <c r="AI5" s="3182"/>
      <c r="AJ5" s="3182"/>
    </row>
    <row r="6" spans="1:36" ht="30" customHeight="1">
      <c r="A6" s="184" t="s">
        <v>50</v>
      </c>
      <c r="B6" s="185" t="s">
        <v>1281</v>
      </c>
      <c r="C6" s="186" t="s">
        <v>1282</v>
      </c>
      <c r="D6" s="187" t="s">
        <v>1283</v>
      </c>
      <c r="E6" s="188" t="s">
        <v>1284</v>
      </c>
      <c r="F6" s="188" t="s">
        <v>1285</v>
      </c>
      <c r="G6" s="189" t="s">
        <v>1286</v>
      </c>
      <c r="H6" s="188" t="s">
        <v>1287</v>
      </c>
      <c r="I6" s="188" t="s">
        <v>1288</v>
      </c>
      <c r="J6" s="188" t="s">
        <v>1289</v>
      </c>
      <c r="K6" s="188" t="s">
        <v>1290</v>
      </c>
      <c r="L6" s="188" t="s">
        <v>1291</v>
      </c>
      <c r="M6" s="188" t="s">
        <v>1292</v>
      </c>
      <c r="N6" s="188" t="s">
        <v>1293</v>
      </c>
      <c r="O6" s="188" t="s">
        <v>1294</v>
      </c>
      <c r="P6" s="188" t="s">
        <v>1295</v>
      </c>
      <c r="Q6" s="188" t="s">
        <v>1296</v>
      </c>
      <c r="R6" s="188" t="s">
        <v>1297</v>
      </c>
      <c r="S6" s="188" t="s">
        <v>1298</v>
      </c>
      <c r="T6" s="188" t="s">
        <v>1299</v>
      </c>
      <c r="U6" s="188" t="s">
        <v>1300</v>
      </c>
      <c r="V6" s="188" t="s">
        <v>1301</v>
      </c>
      <c r="W6" s="188" t="s">
        <v>1302</v>
      </c>
      <c r="X6" s="188" t="s">
        <v>1303</v>
      </c>
      <c r="Y6" s="188" t="s">
        <v>1304</v>
      </c>
      <c r="Z6" s="188" t="s">
        <v>1305</v>
      </c>
      <c r="AA6" s="188" t="s">
        <v>1306</v>
      </c>
      <c r="AB6" s="188" t="s">
        <v>1307</v>
      </c>
      <c r="AC6" s="188" t="s">
        <v>1308</v>
      </c>
      <c r="AD6" s="188" t="s">
        <v>1309</v>
      </c>
      <c r="AE6" s="188" t="s">
        <v>1310</v>
      </c>
      <c r="AF6" s="188" t="s">
        <v>1311</v>
      </c>
      <c r="AG6" s="188" t="s">
        <v>1312</v>
      </c>
      <c r="AH6" s="188" t="s">
        <v>1313</v>
      </c>
      <c r="AI6" s="188" t="s">
        <v>1314</v>
      </c>
      <c r="AJ6" s="189" t="s">
        <v>1315</v>
      </c>
    </row>
    <row r="7" spans="1:36" ht="60">
      <c r="A7" s="3178" t="s">
        <v>1316</v>
      </c>
      <c r="B7" s="3179"/>
      <c r="C7" s="190"/>
      <c r="D7" s="191" t="s">
        <v>1317</v>
      </c>
      <c r="E7" s="192" t="s">
        <v>1318</v>
      </c>
      <c r="F7" s="3183" t="s">
        <v>1319</v>
      </c>
      <c r="G7" s="3184"/>
      <c r="H7" s="193" t="s">
        <v>1320</v>
      </c>
      <c r="I7" s="194" t="s">
        <v>1321</v>
      </c>
      <c r="J7" s="3185" t="s">
        <v>1322</v>
      </c>
      <c r="K7" s="3184"/>
      <c r="L7" s="3183" t="s">
        <v>1323</v>
      </c>
      <c r="M7" s="3186"/>
      <c r="N7" s="3184"/>
      <c r="O7" s="3183" t="s">
        <v>1323</v>
      </c>
      <c r="P7" s="3186"/>
      <c r="Q7" s="3186"/>
      <c r="R7" s="3186"/>
      <c r="S7" s="3186"/>
      <c r="T7" s="3186"/>
      <c r="U7" s="3184"/>
      <c r="V7" s="3183" t="s">
        <v>1323</v>
      </c>
      <c r="W7" s="3186"/>
      <c r="X7" s="3186"/>
      <c r="Y7" s="3186"/>
      <c r="Z7" s="3186"/>
      <c r="AA7" s="3184"/>
      <c r="AB7" s="194" t="s">
        <v>1323</v>
      </c>
      <c r="AC7" s="3183" t="s">
        <v>1323</v>
      </c>
      <c r="AD7" s="3184"/>
      <c r="AE7" s="193" t="s">
        <v>1324</v>
      </c>
      <c r="AF7" s="194" t="s">
        <v>1325</v>
      </c>
      <c r="AG7" s="193" t="s">
        <v>1326</v>
      </c>
      <c r="AH7" s="195" t="s">
        <v>1327</v>
      </c>
      <c r="AI7" s="3183" t="s">
        <v>1328</v>
      </c>
      <c r="AJ7" s="3187"/>
    </row>
    <row r="8" spans="1:36" ht="22.5">
      <c r="A8" s="3180"/>
      <c r="B8" s="3179"/>
      <c r="C8" s="196"/>
      <c r="D8" s="197" t="s">
        <v>1329</v>
      </c>
      <c r="E8" s="198" t="s">
        <v>1330</v>
      </c>
      <c r="F8" s="3174" t="s">
        <v>1331</v>
      </c>
      <c r="G8" s="3175"/>
      <c r="H8" s="199" t="s">
        <v>1332</v>
      </c>
      <c r="I8" s="200" t="s">
        <v>1333</v>
      </c>
      <c r="J8" s="3176" t="s">
        <v>1334</v>
      </c>
      <c r="K8" s="3175"/>
      <c r="L8" s="199" t="s">
        <v>1335</v>
      </c>
      <c r="M8" s="199" t="s">
        <v>1336</v>
      </c>
      <c r="N8" s="199" t="s">
        <v>1337</v>
      </c>
      <c r="O8" s="3176" t="s">
        <v>1338</v>
      </c>
      <c r="P8" s="3177"/>
      <c r="Q8" s="3177"/>
      <c r="R8" s="3177"/>
      <c r="S8" s="3177"/>
      <c r="T8" s="3177"/>
      <c r="U8" s="3175"/>
      <c r="V8" s="3176" t="s">
        <v>1339</v>
      </c>
      <c r="W8" s="3177"/>
      <c r="X8" s="3177"/>
      <c r="Y8" s="3177"/>
      <c r="Z8" s="3177"/>
      <c r="AA8" s="3175"/>
      <c r="AB8" s="199" t="s">
        <v>1340</v>
      </c>
      <c r="AC8" s="3176" t="s">
        <v>1341</v>
      </c>
      <c r="AD8" s="3175"/>
      <c r="AE8" s="199" t="s">
        <v>1342</v>
      </c>
      <c r="AF8" s="199" t="s">
        <v>1343</v>
      </c>
      <c r="AG8" s="199" t="s">
        <v>1344</v>
      </c>
      <c r="AH8" s="201" t="s">
        <v>1345</v>
      </c>
      <c r="AI8" s="3176" t="s">
        <v>1346</v>
      </c>
      <c r="AJ8" s="3181"/>
    </row>
    <row r="9" spans="1:36" ht="45">
      <c r="A9" s="3180"/>
      <c r="B9" s="3179"/>
      <c r="C9" s="196"/>
      <c r="D9" s="202" t="s">
        <v>1347</v>
      </c>
      <c r="E9" s="203"/>
      <c r="F9" s="204" t="s">
        <v>1348</v>
      </c>
      <c r="G9" s="205" t="s">
        <v>1349</v>
      </c>
      <c r="H9" s="206" t="s">
        <v>1350</v>
      </c>
      <c r="I9" s="204" t="s">
        <v>1351</v>
      </c>
      <c r="J9" s="204" t="s">
        <v>73</v>
      </c>
      <c r="K9" s="204" t="s">
        <v>1352</v>
      </c>
      <c r="L9" s="204" t="s">
        <v>1353</v>
      </c>
      <c r="M9" s="204" t="s">
        <v>421</v>
      </c>
      <c r="N9" s="204" t="s">
        <v>1354</v>
      </c>
      <c r="O9" s="204" t="s">
        <v>1355</v>
      </c>
      <c r="P9" s="204" t="s">
        <v>557</v>
      </c>
      <c r="Q9" s="204" t="s">
        <v>375</v>
      </c>
      <c r="R9" s="204" t="s">
        <v>1356</v>
      </c>
      <c r="S9" s="204" t="s">
        <v>1357</v>
      </c>
      <c r="T9" s="204" t="s">
        <v>1358</v>
      </c>
      <c r="U9" s="204" t="s">
        <v>356</v>
      </c>
      <c r="V9" s="204" t="s">
        <v>1359</v>
      </c>
      <c r="W9" s="204" t="s">
        <v>1360</v>
      </c>
      <c r="X9" s="204" t="s">
        <v>1361</v>
      </c>
      <c r="Y9" s="204" t="s">
        <v>1362</v>
      </c>
      <c r="Z9" s="204" t="s">
        <v>231</v>
      </c>
      <c r="AA9" s="204" t="s">
        <v>1363</v>
      </c>
      <c r="AB9" s="204" t="s">
        <v>1364</v>
      </c>
      <c r="AC9" s="204" t="s">
        <v>1365</v>
      </c>
      <c r="AD9" s="204" t="s">
        <v>1366</v>
      </c>
      <c r="AE9" s="204" t="s">
        <v>1367</v>
      </c>
      <c r="AF9" s="204" t="s">
        <v>1368</v>
      </c>
      <c r="AG9" s="204" t="s">
        <v>1369</v>
      </c>
      <c r="AH9" s="204" t="s">
        <v>1370</v>
      </c>
      <c r="AI9" s="204" t="s">
        <v>80</v>
      </c>
      <c r="AJ9" s="205" t="s">
        <v>435</v>
      </c>
    </row>
    <row r="10" spans="1:36" ht="27">
      <c r="A10" s="3170"/>
      <c r="B10" s="3171"/>
      <c r="C10" s="207" t="s">
        <v>1371</v>
      </c>
      <c r="D10" s="208"/>
      <c r="E10" s="209" t="s">
        <v>1372</v>
      </c>
      <c r="F10" s="209" t="s">
        <v>1372</v>
      </c>
      <c r="G10" s="209" t="s">
        <v>1372</v>
      </c>
      <c r="H10" s="209" t="s">
        <v>1372</v>
      </c>
      <c r="I10" s="209" t="s">
        <v>1372</v>
      </c>
      <c r="J10" s="209" t="s">
        <v>1372</v>
      </c>
      <c r="K10" s="209" t="s">
        <v>1372</v>
      </c>
      <c r="L10" s="209" t="s">
        <v>1372</v>
      </c>
      <c r="M10" s="209" t="s">
        <v>1372</v>
      </c>
      <c r="N10" s="209" t="s">
        <v>1372</v>
      </c>
      <c r="O10" s="209" t="s">
        <v>1372</v>
      </c>
      <c r="P10" s="209" t="s">
        <v>1372</v>
      </c>
      <c r="Q10" s="209" t="s">
        <v>1372</v>
      </c>
      <c r="R10" s="209" t="s">
        <v>1372</v>
      </c>
      <c r="S10" s="209" t="s">
        <v>1372</v>
      </c>
      <c r="T10" s="209" t="s">
        <v>1372</v>
      </c>
      <c r="U10" s="209" t="s">
        <v>1372</v>
      </c>
      <c r="V10" s="209" t="s">
        <v>1372</v>
      </c>
      <c r="W10" s="209" t="s">
        <v>1372</v>
      </c>
      <c r="X10" s="209" t="s">
        <v>1372</v>
      </c>
      <c r="Y10" s="209" t="s">
        <v>1372</v>
      </c>
      <c r="Z10" s="209" t="s">
        <v>1372</v>
      </c>
      <c r="AA10" s="209" t="s">
        <v>1372</v>
      </c>
      <c r="AB10" s="209" t="s">
        <v>1372</v>
      </c>
      <c r="AC10" s="209" t="s">
        <v>1372</v>
      </c>
      <c r="AD10" s="209" t="s">
        <v>1372</v>
      </c>
      <c r="AE10" s="209" t="s">
        <v>1372</v>
      </c>
      <c r="AF10" s="209" t="s">
        <v>1372</v>
      </c>
      <c r="AG10" s="209" t="s">
        <v>1372</v>
      </c>
      <c r="AH10" s="209" t="s">
        <v>1372</v>
      </c>
      <c r="AI10" s="209" t="s">
        <v>1372</v>
      </c>
      <c r="AJ10" s="209" t="s">
        <v>1372</v>
      </c>
    </row>
    <row r="11" spans="1:36" ht="20.25">
      <c r="A11" s="3172" t="s">
        <v>1373</v>
      </c>
      <c r="B11" s="3173"/>
      <c r="C11" s="210" t="s">
        <v>1374</v>
      </c>
      <c r="D11" s="211"/>
      <c r="E11" s="212">
        <f t="shared" ref="E11:AJ11" si="0">(MIN(E$13:E$83)*8)/E12</f>
        <v>1.2005030077925096</v>
      </c>
      <c r="F11" s="212">
        <f t="shared" si="0"/>
        <v>1.0823735391682334</v>
      </c>
      <c r="G11" s="212">
        <f t="shared" si="0"/>
        <v>0.87029546357622778</v>
      </c>
      <c r="H11" s="212">
        <f t="shared" si="0"/>
        <v>1.1581779343408287</v>
      </c>
      <c r="I11" s="212">
        <f t="shared" si="0"/>
        <v>0.98966326530424253</v>
      </c>
      <c r="J11" s="212">
        <f t="shared" si="0"/>
        <v>1.0586768803484126</v>
      </c>
      <c r="K11" s="212">
        <f t="shared" si="0"/>
        <v>0.90593589272963471</v>
      </c>
      <c r="L11" s="212">
        <f t="shared" si="0"/>
        <v>1.2269590912480937</v>
      </c>
      <c r="M11" s="212">
        <f t="shared" si="0"/>
        <v>1.2356297682857789</v>
      </c>
      <c r="N11" s="212">
        <f t="shared" si="0"/>
        <v>0.93136816750378604</v>
      </c>
      <c r="O11" s="212">
        <f t="shared" si="0"/>
        <v>1.1701561494561827</v>
      </c>
      <c r="P11" s="212">
        <f t="shared" si="0"/>
        <v>1.3391764438835909</v>
      </c>
      <c r="Q11" s="212">
        <f t="shared" si="0"/>
        <v>1.1831637480267396</v>
      </c>
      <c r="R11" s="212">
        <f t="shared" si="0"/>
        <v>1.0932703569233397</v>
      </c>
      <c r="S11" s="212">
        <f t="shared" si="0"/>
        <v>1.2315085079583294</v>
      </c>
      <c r="T11" s="212">
        <f t="shared" si="0"/>
        <v>1.2716217411029411</v>
      </c>
      <c r="U11" s="212">
        <f t="shared" si="0"/>
        <v>1.1142959658680505</v>
      </c>
      <c r="V11" s="212">
        <f t="shared" si="0"/>
        <v>1.1279791908230428</v>
      </c>
      <c r="W11" s="212">
        <f t="shared" si="0"/>
        <v>1.2080480567790484</v>
      </c>
      <c r="X11" s="212">
        <f t="shared" si="0"/>
        <v>1.2440585846494765</v>
      </c>
      <c r="Y11" s="212">
        <f t="shared" si="0"/>
        <v>1.2156194130810749</v>
      </c>
      <c r="Z11" s="212">
        <f t="shared" si="0"/>
        <v>1.1928516400722708</v>
      </c>
      <c r="AA11" s="212">
        <f t="shared" si="0"/>
        <v>1.2271368630680732</v>
      </c>
      <c r="AB11" s="212">
        <f t="shared" si="0"/>
        <v>0.50179324095039834</v>
      </c>
      <c r="AC11" s="212">
        <f t="shared" si="0"/>
        <v>1.4424931693779455</v>
      </c>
      <c r="AD11" s="212">
        <f t="shared" si="0"/>
        <v>1.3108288611406727</v>
      </c>
      <c r="AE11" s="212">
        <f t="shared" si="0"/>
        <v>1.348199843666561</v>
      </c>
      <c r="AF11" s="212">
        <f t="shared" si="0"/>
        <v>1.41916299934597</v>
      </c>
      <c r="AG11" s="212">
        <f t="shared" si="0"/>
        <v>0.54390709061381437</v>
      </c>
      <c r="AH11" s="212">
        <f t="shared" si="0"/>
        <v>1.0426080699987044</v>
      </c>
      <c r="AI11" s="212">
        <f t="shared" si="0"/>
        <v>1.2177556897566657</v>
      </c>
      <c r="AJ11" s="212">
        <f t="shared" si="0"/>
        <v>1.3650212612234256</v>
      </c>
    </row>
    <row r="12" spans="1:36" ht="17.25">
      <c r="A12" s="213"/>
      <c r="B12" s="214"/>
      <c r="C12" s="215">
        <f t="shared" ref="C12:C43" si="1">SUM(E12:AL12)</f>
        <v>154915531</v>
      </c>
      <c r="D12" s="187" t="s">
        <v>1283</v>
      </c>
      <c r="E12" s="216">
        <v>4183633</v>
      </c>
      <c r="F12" s="216">
        <v>4564694</v>
      </c>
      <c r="G12" s="216">
        <v>5768156</v>
      </c>
      <c r="H12" s="216">
        <v>4459971</v>
      </c>
      <c r="I12" s="216">
        <v>5427923</v>
      </c>
      <c r="J12" s="216">
        <v>4769289</v>
      </c>
      <c r="K12" s="216">
        <v>5712519</v>
      </c>
      <c r="L12" s="216">
        <v>4666092</v>
      </c>
      <c r="M12" s="216">
        <v>4265815</v>
      </c>
      <c r="N12" s="216">
        <v>6356919</v>
      </c>
      <c r="O12" s="216">
        <v>4457012</v>
      </c>
      <c r="P12" s="216">
        <v>3969347</v>
      </c>
      <c r="Q12" s="216">
        <v>4648398</v>
      </c>
      <c r="R12" s="216">
        <v>4423667</v>
      </c>
      <c r="S12" s="216">
        <v>4428442</v>
      </c>
      <c r="T12" s="216">
        <v>4139514</v>
      </c>
      <c r="U12" s="216">
        <v>5105832</v>
      </c>
      <c r="V12" s="216">
        <v>4650256</v>
      </c>
      <c r="W12" s="216">
        <v>4650166</v>
      </c>
      <c r="X12" s="216">
        <v>5054225</v>
      </c>
      <c r="Y12" s="216">
        <v>4248764</v>
      </c>
      <c r="Z12" s="216">
        <v>4567817</v>
      </c>
      <c r="AA12" s="216">
        <v>4414836</v>
      </c>
      <c r="AB12" s="216">
        <v>3615242</v>
      </c>
      <c r="AC12" s="216">
        <v>4887915</v>
      </c>
      <c r="AD12" s="216">
        <v>4213444</v>
      </c>
      <c r="AE12" s="216">
        <v>4134752</v>
      </c>
      <c r="AF12" s="216">
        <v>3934071</v>
      </c>
      <c r="AG12" s="216">
        <v>11302195</v>
      </c>
      <c r="AH12" s="216">
        <v>4800546</v>
      </c>
      <c r="AI12" s="216">
        <v>4598571</v>
      </c>
      <c r="AJ12" s="216">
        <v>4495508</v>
      </c>
    </row>
    <row r="13" spans="1:36" ht="17.25">
      <c r="A13" s="256" t="s">
        <v>1377</v>
      </c>
      <c r="B13" s="258" t="s">
        <v>1376</v>
      </c>
      <c r="C13" s="248">
        <f t="shared" si="1"/>
        <v>21647958</v>
      </c>
      <c r="D13" s="259">
        <f t="shared" ref="D13:D43" si="2">((E13*100/4457012)+(F13*100/4666092)+(G13*100/4564694)+(H13*100/3934071)+(I13*100/4887915)+(J13*100/4213444)+(K13*100/3969347)+(L13*100/4648398)+(M13*100/4423667)+(N13*100/4183633)+(O13*100/4598571)+(P13*100/4650256)+(Q13*100/4428442)+(R13*100/3615242)+(S13*100/5768156)+(T13*100/4495508)+(U13*100/4650166)+(V13*100/4800546)+(W13*100/5054225)+(X13*100/4265815)+(Y13*100/4769289)+(Z13*100/4139514)+(AA13*100/4248764)+(AB13*100/4567817)+(AC13*100/6356919)+(AD13*100/4414836)+(AE13*100/5105832)+(AF13*100/5712519)+(AG13*100/11302195)+(AI13*100/5427923)+(AJ13*100/4134752))/31</f>
        <v>14.420924361537331</v>
      </c>
      <c r="E13" s="250">
        <v>627808</v>
      </c>
      <c r="F13" s="250">
        <v>633055</v>
      </c>
      <c r="G13" s="250">
        <v>627500</v>
      </c>
      <c r="H13" s="250">
        <v>666245</v>
      </c>
      <c r="I13" s="250">
        <v>671477</v>
      </c>
      <c r="J13" s="250">
        <v>631142</v>
      </c>
      <c r="K13" s="250">
        <v>646897</v>
      </c>
      <c r="L13" s="250">
        <v>715638</v>
      </c>
      <c r="M13" s="250">
        <v>658871</v>
      </c>
      <c r="N13" s="250">
        <v>740945</v>
      </c>
      <c r="O13" s="250">
        <v>651925</v>
      </c>
      <c r="P13" s="250">
        <v>664457</v>
      </c>
      <c r="Q13" s="250">
        <v>687477</v>
      </c>
      <c r="R13" s="250">
        <v>617519</v>
      </c>
      <c r="S13" s="250">
        <v>681708</v>
      </c>
      <c r="T13" s="250">
        <v>657987</v>
      </c>
      <c r="U13" s="250">
        <v>717568</v>
      </c>
      <c r="V13" s="250">
        <v>655674</v>
      </c>
      <c r="W13" s="250">
        <v>702203</v>
      </c>
      <c r="X13" s="250">
        <v>785969</v>
      </c>
      <c r="Y13" s="250">
        <v>682920</v>
      </c>
      <c r="Z13" s="260">
        <v>681091</v>
      </c>
      <c r="AA13" s="250">
        <v>677201</v>
      </c>
      <c r="AB13" s="250">
        <v>233753</v>
      </c>
      <c r="AC13" s="250">
        <v>881348</v>
      </c>
      <c r="AD13" s="250">
        <v>731967</v>
      </c>
      <c r="AE13" s="250">
        <v>709296</v>
      </c>
      <c r="AF13" s="250">
        <v>697886</v>
      </c>
      <c r="AG13" s="250">
        <v>784072</v>
      </c>
      <c r="AH13" s="250">
        <v>659309</v>
      </c>
      <c r="AI13" s="250">
        <v>699992</v>
      </c>
      <c r="AJ13" s="250">
        <v>767058</v>
      </c>
    </row>
    <row r="14" spans="1:36" ht="17.25">
      <c r="A14" s="219" t="s">
        <v>1375</v>
      </c>
      <c r="B14" s="217" t="s">
        <v>1376</v>
      </c>
      <c r="C14" s="218">
        <f t="shared" si="1"/>
        <v>22015914</v>
      </c>
      <c r="D14" s="221">
        <f t="shared" si="2"/>
        <v>14.705329837239034</v>
      </c>
      <c r="E14" s="222">
        <v>641745</v>
      </c>
      <c r="F14" s="222">
        <v>617588</v>
      </c>
      <c r="G14" s="222">
        <v>631880</v>
      </c>
      <c r="H14" s="222">
        <v>645680</v>
      </c>
      <c r="I14" s="222">
        <v>697860</v>
      </c>
      <c r="J14" s="222">
        <v>668030</v>
      </c>
      <c r="K14" s="222">
        <v>673122</v>
      </c>
      <c r="L14" s="222">
        <v>732720</v>
      </c>
      <c r="M14" s="222">
        <v>659576</v>
      </c>
      <c r="N14" s="222">
        <v>741305</v>
      </c>
      <c r="O14" s="222">
        <v>680717</v>
      </c>
      <c r="P14" s="222">
        <v>683686</v>
      </c>
      <c r="Q14" s="222">
        <v>716205</v>
      </c>
      <c r="R14" s="222">
        <v>647755</v>
      </c>
      <c r="S14" s="222">
        <v>705720</v>
      </c>
      <c r="T14" s="222">
        <v>683075</v>
      </c>
      <c r="U14" s="222">
        <v>738958</v>
      </c>
      <c r="V14" s="222">
        <v>678688</v>
      </c>
      <c r="W14" s="222">
        <v>718538</v>
      </c>
      <c r="X14" s="222">
        <v>801350</v>
      </c>
      <c r="Y14" s="222">
        <v>703478</v>
      </c>
      <c r="Z14" s="222">
        <v>697638</v>
      </c>
      <c r="AA14" s="222">
        <v>699206</v>
      </c>
      <c r="AB14" s="222">
        <v>226763</v>
      </c>
      <c r="AC14" s="222">
        <v>896480</v>
      </c>
      <c r="AD14" s="222">
        <v>735399</v>
      </c>
      <c r="AE14" s="222">
        <v>704118</v>
      </c>
      <c r="AF14" s="222">
        <v>700185</v>
      </c>
      <c r="AG14" s="222">
        <v>783821</v>
      </c>
      <c r="AH14" s="222">
        <v>625636</v>
      </c>
      <c r="AI14" s="222">
        <v>711251</v>
      </c>
      <c r="AJ14" s="222">
        <v>767741</v>
      </c>
    </row>
    <row r="15" spans="1:36" ht="17.25">
      <c r="A15" s="219" t="s">
        <v>1087</v>
      </c>
      <c r="B15" s="220" t="s">
        <v>1376</v>
      </c>
      <c r="C15" s="218">
        <f t="shared" si="1"/>
        <v>22167189</v>
      </c>
      <c r="D15" s="221">
        <f t="shared" si="2"/>
        <v>14.796685945333712</v>
      </c>
      <c r="E15" s="222">
        <v>644800</v>
      </c>
      <c r="F15" s="222">
        <v>620860</v>
      </c>
      <c r="G15" s="222">
        <v>635949</v>
      </c>
      <c r="H15" s="222">
        <v>649650</v>
      </c>
      <c r="I15" s="222">
        <v>703170</v>
      </c>
      <c r="J15" s="222">
        <v>672292</v>
      </c>
      <c r="K15" s="222">
        <v>677403</v>
      </c>
      <c r="L15" s="222">
        <v>737793</v>
      </c>
      <c r="M15" s="222">
        <v>662553</v>
      </c>
      <c r="N15" s="222">
        <v>748594</v>
      </c>
      <c r="O15" s="222">
        <v>684689</v>
      </c>
      <c r="P15" s="222">
        <v>687109</v>
      </c>
      <c r="Q15" s="222">
        <v>719984</v>
      </c>
      <c r="R15" s="222">
        <v>651465</v>
      </c>
      <c r="S15" s="222">
        <v>710025</v>
      </c>
      <c r="T15" s="222">
        <v>686654</v>
      </c>
      <c r="U15" s="222">
        <v>742802</v>
      </c>
      <c r="V15" s="222">
        <v>682218</v>
      </c>
      <c r="W15" s="222">
        <v>721706</v>
      </c>
      <c r="X15" s="222">
        <v>804444</v>
      </c>
      <c r="Y15" s="222">
        <v>706772</v>
      </c>
      <c r="Z15" s="222">
        <v>701248</v>
      </c>
      <c r="AA15" s="222">
        <v>702718</v>
      </c>
      <c r="AB15" s="222">
        <v>231443</v>
      </c>
      <c r="AC15" s="222">
        <v>899400</v>
      </c>
      <c r="AD15" s="222">
        <v>738661</v>
      </c>
      <c r="AE15" s="222">
        <v>707912</v>
      </c>
      <c r="AF15" s="222">
        <v>703286</v>
      </c>
      <c r="AG15" s="222">
        <v>814715</v>
      </c>
      <c r="AH15" s="222">
        <v>629585</v>
      </c>
      <c r="AI15" s="222">
        <v>715136</v>
      </c>
      <c r="AJ15" s="222">
        <v>772153</v>
      </c>
    </row>
    <row r="16" spans="1:36" ht="17.25">
      <c r="A16" s="219" t="s">
        <v>1379</v>
      </c>
      <c r="B16" s="220" t="s">
        <v>1380</v>
      </c>
      <c r="C16" s="218">
        <f t="shared" si="1"/>
        <v>22220596</v>
      </c>
      <c r="D16" s="221">
        <f t="shared" si="2"/>
        <v>14.83581759342321</v>
      </c>
      <c r="E16" s="222">
        <v>649898</v>
      </c>
      <c r="F16" s="222">
        <v>622272</v>
      </c>
      <c r="G16" s="222">
        <v>634382</v>
      </c>
      <c r="H16" s="222">
        <v>652099</v>
      </c>
      <c r="I16" s="222">
        <v>707466</v>
      </c>
      <c r="J16" s="222">
        <v>680033</v>
      </c>
      <c r="K16" s="222">
        <v>683593</v>
      </c>
      <c r="L16" s="222">
        <v>743384</v>
      </c>
      <c r="M16" s="222">
        <v>666724</v>
      </c>
      <c r="N16" s="222">
        <v>740079</v>
      </c>
      <c r="O16" s="222">
        <v>684061</v>
      </c>
      <c r="P16" s="222">
        <v>692172</v>
      </c>
      <c r="Q16" s="222">
        <v>719196</v>
      </c>
      <c r="R16" s="222">
        <v>628583</v>
      </c>
      <c r="S16" s="222">
        <v>714265</v>
      </c>
      <c r="T16" s="222">
        <v>692336</v>
      </c>
      <c r="U16" s="222">
        <v>750057</v>
      </c>
      <c r="V16" s="222">
        <v>689088</v>
      </c>
      <c r="W16" s="222">
        <v>726776</v>
      </c>
      <c r="X16" s="222">
        <v>809078</v>
      </c>
      <c r="Y16" s="222">
        <v>710262</v>
      </c>
      <c r="Z16" s="222">
        <v>705327</v>
      </c>
      <c r="AA16" s="222">
        <v>705507</v>
      </c>
      <c r="AB16" s="222">
        <v>232199</v>
      </c>
      <c r="AC16" s="222">
        <v>903726</v>
      </c>
      <c r="AD16" s="222">
        <v>742356</v>
      </c>
      <c r="AE16" s="222">
        <v>709991</v>
      </c>
      <c r="AF16" s="222">
        <v>705513</v>
      </c>
      <c r="AG16" s="222">
        <v>791268</v>
      </c>
      <c r="AH16" s="222">
        <v>633446</v>
      </c>
      <c r="AI16" s="222">
        <v>719654</v>
      </c>
      <c r="AJ16" s="222">
        <v>775805</v>
      </c>
    </row>
    <row r="17" spans="1:36" ht="17.25">
      <c r="A17" s="219" t="s">
        <v>1381</v>
      </c>
      <c r="B17" s="220" t="s">
        <v>1376</v>
      </c>
      <c r="C17" s="218">
        <f t="shared" si="1"/>
        <v>22334958</v>
      </c>
      <c r="D17" s="221">
        <f t="shared" si="2"/>
        <v>14.912006388856318</v>
      </c>
      <c r="E17" s="222">
        <v>652213</v>
      </c>
      <c r="F17" s="222">
        <v>623046</v>
      </c>
      <c r="G17" s="222">
        <v>645641</v>
      </c>
      <c r="H17" s="222">
        <v>657681</v>
      </c>
      <c r="I17" s="222">
        <v>710552</v>
      </c>
      <c r="J17" s="222">
        <v>681787</v>
      </c>
      <c r="K17" s="222">
        <v>687731</v>
      </c>
      <c r="L17" s="222">
        <v>745648</v>
      </c>
      <c r="M17" s="222">
        <v>670999</v>
      </c>
      <c r="N17" s="222">
        <v>741918</v>
      </c>
      <c r="O17" s="222">
        <v>692496</v>
      </c>
      <c r="P17" s="222">
        <v>693506</v>
      </c>
      <c r="Q17" s="222">
        <v>727912</v>
      </c>
      <c r="R17" s="222">
        <v>632735</v>
      </c>
      <c r="S17" s="222">
        <v>716162</v>
      </c>
      <c r="T17" s="222">
        <v>692855</v>
      </c>
      <c r="U17" s="222">
        <v>752957</v>
      </c>
      <c r="V17" s="222">
        <v>689714</v>
      </c>
      <c r="W17" s="222">
        <v>728787</v>
      </c>
      <c r="X17" s="222">
        <v>813889</v>
      </c>
      <c r="Y17" s="222">
        <v>713038</v>
      </c>
      <c r="Z17" s="222">
        <v>708596</v>
      </c>
      <c r="AA17" s="222">
        <v>709929</v>
      </c>
      <c r="AB17" s="222">
        <v>230987</v>
      </c>
      <c r="AC17" s="222">
        <v>909189</v>
      </c>
      <c r="AD17" s="222">
        <v>745192</v>
      </c>
      <c r="AE17" s="222">
        <v>714497</v>
      </c>
      <c r="AF17" s="222">
        <v>711185</v>
      </c>
      <c r="AG17" s="222">
        <v>800732</v>
      </c>
      <c r="AH17" s="222">
        <v>634780</v>
      </c>
      <c r="AI17" s="222">
        <v>719993</v>
      </c>
      <c r="AJ17" s="222">
        <v>778611</v>
      </c>
    </row>
    <row r="18" spans="1:36" ht="17.25">
      <c r="A18" s="219" t="s">
        <v>1382</v>
      </c>
      <c r="B18" s="220" t="s">
        <v>1376</v>
      </c>
      <c r="C18" s="218">
        <f t="shared" si="1"/>
        <v>22360825</v>
      </c>
      <c r="D18" s="221">
        <f t="shared" si="2"/>
        <v>14.935227660413373</v>
      </c>
      <c r="E18" s="222">
        <v>652213</v>
      </c>
      <c r="F18" s="222">
        <v>623076</v>
      </c>
      <c r="G18" s="222">
        <v>645641</v>
      </c>
      <c r="H18" s="222">
        <v>657681</v>
      </c>
      <c r="I18" s="222">
        <v>710523</v>
      </c>
      <c r="J18" s="222">
        <v>681787</v>
      </c>
      <c r="K18" s="222">
        <v>687702</v>
      </c>
      <c r="L18" s="222">
        <v>745648</v>
      </c>
      <c r="M18" s="222">
        <v>670999</v>
      </c>
      <c r="N18" s="222">
        <v>741918</v>
      </c>
      <c r="O18" s="222">
        <v>692537</v>
      </c>
      <c r="P18" s="222">
        <v>693506</v>
      </c>
      <c r="Q18" s="222">
        <v>726599</v>
      </c>
      <c r="R18" s="222">
        <v>659607</v>
      </c>
      <c r="S18" s="222">
        <v>716228</v>
      </c>
      <c r="T18" s="222">
        <v>692826</v>
      </c>
      <c r="U18" s="222">
        <v>752957</v>
      </c>
      <c r="V18" s="222">
        <v>689945</v>
      </c>
      <c r="W18" s="222">
        <v>728787</v>
      </c>
      <c r="X18" s="222">
        <v>813889</v>
      </c>
      <c r="Y18" s="222">
        <v>713038</v>
      </c>
      <c r="Z18" s="222">
        <v>708596</v>
      </c>
      <c r="AA18" s="222">
        <v>709929</v>
      </c>
      <c r="AB18" s="222">
        <v>230987</v>
      </c>
      <c r="AC18" s="222">
        <v>909218</v>
      </c>
      <c r="AD18" s="222">
        <v>745192</v>
      </c>
      <c r="AE18" s="222">
        <v>714497</v>
      </c>
      <c r="AF18" s="222">
        <v>711214</v>
      </c>
      <c r="AG18" s="222">
        <v>800701</v>
      </c>
      <c r="AH18" s="222">
        <v>634780</v>
      </c>
      <c r="AI18" s="222">
        <v>719993</v>
      </c>
      <c r="AJ18" s="222">
        <v>778611</v>
      </c>
    </row>
    <row r="19" spans="1:36" ht="17.25">
      <c r="A19" s="219" t="s">
        <v>1383</v>
      </c>
      <c r="B19" s="220" t="s">
        <v>1376</v>
      </c>
      <c r="C19" s="218">
        <f t="shared" si="1"/>
        <v>22479027</v>
      </c>
      <c r="D19" s="221">
        <f t="shared" si="2"/>
        <v>15.009801926714644</v>
      </c>
      <c r="E19" s="222">
        <v>658899</v>
      </c>
      <c r="F19" s="222">
        <v>625916</v>
      </c>
      <c r="G19" s="222">
        <v>652341</v>
      </c>
      <c r="H19" s="222">
        <v>657681</v>
      </c>
      <c r="I19" s="222">
        <v>714865</v>
      </c>
      <c r="J19" s="222">
        <v>687548</v>
      </c>
      <c r="K19" s="222">
        <v>690966</v>
      </c>
      <c r="L19" s="222">
        <v>752289</v>
      </c>
      <c r="M19" s="222">
        <v>678734</v>
      </c>
      <c r="N19" s="222">
        <v>748408</v>
      </c>
      <c r="O19" s="222">
        <v>691803</v>
      </c>
      <c r="P19" s="222">
        <v>702842</v>
      </c>
      <c r="Q19" s="222">
        <v>726056</v>
      </c>
      <c r="R19" s="222">
        <v>641370</v>
      </c>
      <c r="S19" s="222">
        <v>712961</v>
      </c>
      <c r="T19" s="222">
        <v>671466</v>
      </c>
      <c r="U19" s="222">
        <v>757487</v>
      </c>
      <c r="V19" s="222">
        <v>675344</v>
      </c>
      <c r="W19" s="222">
        <v>736634</v>
      </c>
      <c r="X19" s="222">
        <v>821668</v>
      </c>
      <c r="Y19" s="222">
        <v>722598</v>
      </c>
      <c r="Z19" s="222">
        <v>716516</v>
      </c>
      <c r="AA19" s="222">
        <v>720265</v>
      </c>
      <c r="AB19" s="222">
        <v>232064</v>
      </c>
      <c r="AC19" s="222">
        <v>918389</v>
      </c>
      <c r="AD19" s="222">
        <v>765482</v>
      </c>
      <c r="AE19" s="222">
        <v>722918</v>
      </c>
      <c r="AF19" s="222">
        <v>714338</v>
      </c>
      <c r="AG19" s="222">
        <v>807578</v>
      </c>
      <c r="AH19" s="222">
        <v>638184</v>
      </c>
      <c r="AI19" s="222">
        <v>727499</v>
      </c>
      <c r="AJ19" s="222">
        <v>787918</v>
      </c>
    </row>
    <row r="20" spans="1:36" ht="17.25">
      <c r="A20" s="219" t="s">
        <v>759</v>
      </c>
      <c r="B20" s="220" t="s">
        <v>1376</v>
      </c>
      <c r="C20" s="218">
        <f t="shared" si="1"/>
        <v>22604951</v>
      </c>
      <c r="D20" s="221">
        <f t="shared" si="2"/>
        <v>15.071913313085807</v>
      </c>
      <c r="E20" s="222">
        <v>656470</v>
      </c>
      <c r="F20" s="222">
        <v>635581</v>
      </c>
      <c r="G20" s="222">
        <v>668913</v>
      </c>
      <c r="H20" s="222">
        <v>674776</v>
      </c>
      <c r="I20" s="222">
        <v>714740</v>
      </c>
      <c r="J20" s="222">
        <v>680986</v>
      </c>
      <c r="K20" s="222">
        <v>702160</v>
      </c>
      <c r="L20" s="222">
        <v>747311</v>
      </c>
      <c r="M20" s="222">
        <v>690742</v>
      </c>
      <c r="N20" s="222">
        <v>751123</v>
      </c>
      <c r="O20" s="222">
        <v>692892</v>
      </c>
      <c r="P20" s="222">
        <v>693945</v>
      </c>
      <c r="Q20" s="222">
        <v>725717</v>
      </c>
      <c r="R20" s="222">
        <v>661317</v>
      </c>
      <c r="S20" s="222">
        <v>715915</v>
      </c>
      <c r="T20" s="222">
        <v>694760</v>
      </c>
      <c r="U20" s="222">
        <v>711176</v>
      </c>
      <c r="V20" s="222">
        <v>693433</v>
      </c>
      <c r="W20" s="222">
        <v>730940</v>
      </c>
      <c r="X20" s="222">
        <v>835575</v>
      </c>
      <c r="Y20" s="222">
        <v>716458</v>
      </c>
      <c r="Z20" s="222">
        <v>714448</v>
      </c>
      <c r="AA20" s="222">
        <v>711176</v>
      </c>
      <c r="AB20" s="222">
        <v>232966</v>
      </c>
      <c r="AC20" s="222">
        <v>930601</v>
      </c>
      <c r="AD20" s="222">
        <v>752851</v>
      </c>
      <c r="AE20" s="222">
        <v>723697</v>
      </c>
      <c r="AF20" s="222">
        <v>718679</v>
      </c>
      <c r="AG20" s="222">
        <v>868088</v>
      </c>
      <c r="AH20" s="222">
        <v>645977</v>
      </c>
      <c r="AI20" s="222">
        <v>724682</v>
      </c>
      <c r="AJ20" s="222">
        <v>786856</v>
      </c>
    </row>
    <row r="21" spans="1:36" ht="17.25">
      <c r="A21" s="219" t="s">
        <v>1384</v>
      </c>
      <c r="B21" s="217" t="s">
        <v>1376</v>
      </c>
      <c r="C21" s="218">
        <f t="shared" si="1"/>
        <v>22722510</v>
      </c>
      <c r="D21" s="221">
        <f t="shared" si="2"/>
        <v>15.026102181257144</v>
      </c>
      <c r="E21" s="222">
        <v>632796</v>
      </c>
      <c r="F21" s="222">
        <v>697038</v>
      </c>
      <c r="G21" s="222">
        <v>775506</v>
      </c>
      <c r="H21" s="222">
        <v>651242</v>
      </c>
      <c r="I21" s="222">
        <v>725540</v>
      </c>
      <c r="J21" s="222">
        <v>654250</v>
      </c>
      <c r="K21" s="222">
        <v>661098</v>
      </c>
      <c r="L21" s="222">
        <v>730052</v>
      </c>
      <c r="M21" s="222">
        <v>659794</v>
      </c>
      <c r="N21" s="222">
        <v>895365</v>
      </c>
      <c r="O21" s="222">
        <v>666736</v>
      </c>
      <c r="P21" s="222">
        <v>677726</v>
      </c>
      <c r="Q21" s="222">
        <v>702902</v>
      </c>
      <c r="R21" s="222">
        <v>604533</v>
      </c>
      <c r="S21" s="222">
        <v>695926</v>
      </c>
      <c r="T21" s="222">
        <v>675680</v>
      </c>
      <c r="U21" s="222">
        <v>735407</v>
      </c>
      <c r="V21" s="222">
        <v>670768</v>
      </c>
      <c r="W21" s="222">
        <v>707649</v>
      </c>
      <c r="X21" s="222">
        <v>789982</v>
      </c>
      <c r="Y21" s="222">
        <v>694401</v>
      </c>
      <c r="Z21" s="222">
        <v>696587</v>
      </c>
      <c r="AA21" s="222">
        <v>689193</v>
      </c>
      <c r="AB21" s="222">
        <v>302075</v>
      </c>
      <c r="AC21" s="222">
        <v>888653</v>
      </c>
      <c r="AD21" s="222">
        <v>738252</v>
      </c>
      <c r="AE21" s="222">
        <v>696809</v>
      </c>
      <c r="AF21" s="222">
        <v>729371</v>
      </c>
      <c r="AG21" s="222">
        <v>1123109</v>
      </c>
      <c r="AH21" s="222">
        <v>672879</v>
      </c>
      <c r="AI21" s="222">
        <v>709201</v>
      </c>
      <c r="AJ21" s="222">
        <v>771990</v>
      </c>
    </row>
    <row r="22" spans="1:36" ht="17.25">
      <c r="A22" s="219" t="s">
        <v>1385</v>
      </c>
      <c r="B22" s="220" t="s">
        <v>689</v>
      </c>
      <c r="C22" s="218">
        <f t="shared" si="1"/>
        <v>22728246</v>
      </c>
      <c r="D22" s="221">
        <f t="shared" si="2"/>
        <v>15.175267811520204</v>
      </c>
      <c r="E22" s="222">
        <v>661929</v>
      </c>
      <c r="F22" s="222">
        <v>631837</v>
      </c>
      <c r="G22" s="222">
        <v>652540</v>
      </c>
      <c r="H22" s="222">
        <v>661935</v>
      </c>
      <c r="I22" s="222">
        <v>711969</v>
      </c>
      <c r="J22" s="222">
        <v>684428</v>
      </c>
      <c r="K22" s="222">
        <v>691664</v>
      </c>
      <c r="L22" s="222">
        <v>772202</v>
      </c>
      <c r="M22" s="222">
        <v>675793</v>
      </c>
      <c r="N22" s="222">
        <v>754945</v>
      </c>
      <c r="O22" s="222">
        <v>692699</v>
      </c>
      <c r="P22" s="222">
        <v>709101</v>
      </c>
      <c r="Q22" s="222">
        <v>731839</v>
      </c>
      <c r="R22" s="222">
        <v>639005</v>
      </c>
      <c r="S22" s="222">
        <v>727738</v>
      </c>
      <c r="T22" s="222">
        <v>694840</v>
      </c>
      <c r="U22" s="222">
        <v>767872</v>
      </c>
      <c r="V22" s="222">
        <v>711590</v>
      </c>
      <c r="W22" s="222">
        <v>744578</v>
      </c>
      <c r="X22" s="222">
        <v>830103</v>
      </c>
      <c r="Y22" s="222">
        <v>726961</v>
      </c>
      <c r="Z22" s="222">
        <v>736969</v>
      </c>
      <c r="AA22" s="222">
        <v>715881</v>
      </c>
      <c r="AB22" s="222">
        <v>230661</v>
      </c>
      <c r="AC22" s="222">
        <v>932205</v>
      </c>
      <c r="AD22" s="222">
        <v>776793</v>
      </c>
      <c r="AE22" s="222">
        <v>726911</v>
      </c>
      <c r="AF22" s="222">
        <v>722315</v>
      </c>
      <c r="AG22" s="222">
        <v>814739</v>
      </c>
      <c r="AH22" s="222">
        <v>640676</v>
      </c>
      <c r="AI22" s="222">
        <v>742343</v>
      </c>
      <c r="AJ22" s="222">
        <v>813185</v>
      </c>
    </row>
    <row r="23" spans="1:36" ht="17.25">
      <c r="A23" s="219" t="s">
        <v>1386</v>
      </c>
      <c r="B23" s="220" t="s">
        <v>1376</v>
      </c>
      <c r="C23" s="218">
        <f t="shared" si="1"/>
        <v>22793984</v>
      </c>
      <c r="D23" s="221">
        <f t="shared" si="2"/>
        <v>15.07665112838556</v>
      </c>
      <c r="E23" s="222">
        <v>631853</v>
      </c>
      <c r="F23" s="222">
        <v>696480</v>
      </c>
      <c r="G23" s="222">
        <v>774920</v>
      </c>
      <c r="H23" s="222">
        <v>658356</v>
      </c>
      <c r="I23" s="222">
        <v>729664</v>
      </c>
      <c r="J23" s="222">
        <v>658255</v>
      </c>
      <c r="K23" s="222">
        <v>663605</v>
      </c>
      <c r="L23" s="222">
        <v>740480</v>
      </c>
      <c r="M23" s="222">
        <v>664105</v>
      </c>
      <c r="N23" s="222">
        <v>892647</v>
      </c>
      <c r="O23" s="222">
        <v>668840</v>
      </c>
      <c r="P23" s="222">
        <v>677839</v>
      </c>
      <c r="Q23" s="222">
        <v>703705</v>
      </c>
      <c r="R23" s="222">
        <v>607206</v>
      </c>
      <c r="S23" s="222">
        <v>698009</v>
      </c>
      <c r="T23" s="222">
        <v>675365</v>
      </c>
      <c r="U23" s="222">
        <v>740401</v>
      </c>
      <c r="V23" s="222">
        <v>670424</v>
      </c>
      <c r="W23" s="222">
        <v>713893</v>
      </c>
      <c r="X23" s="222">
        <v>794157</v>
      </c>
      <c r="Y23" s="222">
        <v>697136</v>
      </c>
      <c r="Z23" s="222">
        <v>703079</v>
      </c>
      <c r="AA23" s="222">
        <v>690912</v>
      </c>
      <c r="AB23" s="222">
        <v>291107</v>
      </c>
      <c r="AC23" s="222">
        <v>892128</v>
      </c>
      <c r="AD23" s="222">
        <v>743845</v>
      </c>
      <c r="AE23" s="222">
        <v>698194</v>
      </c>
      <c r="AF23" s="222">
        <v>729887</v>
      </c>
      <c r="AG23" s="222">
        <v>1121113</v>
      </c>
      <c r="AH23" s="222">
        <v>674350</v>
      </c>
      <c r="AI23" s="222">
        <v>715232</v>
      </c>
      <c r="AJ23" s="222">
        <v>776797</v>
      </c>
    </row>
    <row r="24" spans="1:36" ht="17.25">
      <c r="A24" s="223" t="s">
        <v>1387</v>
      </c>
      <c r="B24" s="220" t="s">
        <v>1388</v>
      </c>
      <c r="C24" s="218">
        <f t="shared" si="1"/>
        <v>22811359</v>
      </c>
      <c r="D24" s="221">
        <f t="shared" si="2"/>
        <v>15.217024150853465</v>
      </c>
      <c r="E24" s="222">
        <v>657017</v>
      </c>
      <c r="F24" s="222">
        <v>646283</v>
      </c>
      <c r="G24" s="222">
        <v>674984</v>
      </c>
      <c r="H24" s="222">
        <v>669863</v>
      </c>
      <c r="I24" s="222">
        <v>730485</v>
      </c>
      <c r="J24" s="222">
        <v>688533</v>
      </c>
      <c r="K24" s="222">
        <v>695435</v>
      </c>
      <c r="L24" s="222">
        <v>759639</v>
      </c>
      <c r="M24" s="222">
        <v>681230</v>
      </c>
      <c r="N24" s="222">
        <v>787065</v>
      </c>
      <c r="O24" s="222">
        <v>700018</v>
      </c>
      <c r="P24" s="222">
        <v>701763</v>
      </c>
      <c r="Q24" s="222">
        <v>732658</v>
      </c>
      <c r="R24" s="222">
        <v>665442</v>
      </c>
      <c r="S24" s="222">
        <v>724894</v>
      </c>
      <c r="T24" s="222">
        <v>702057</v>
      </c>
      <c r="U24" s="222">
        <v>767182</v>
      </c>
      <c r="V24" s="222">
        <v>701361</v>
      </c>
      <c r="W24" s="222">
        <v>735286</v>
      </c>
      <c r="X24" s="222">
        <v>821510</v>
      </c>
      <c r="Y24" s="222">
        <v>721875</v>
      </c>
      <c r="Z24" s="222">
        <v>723177</v>
      </c>
      <c r="AA24" s="222">
        <v>717330</v>
      </c>
      <c r="AB24" s="222">
        <v>249960</v>
      </c>
      <c r="AC24" s="222">
        <v>922033</v>
      </c>
      <c r="AD24" s="222">
        <v>758340</v>
      </c>
      <c r="AE24" s="222">
        <v>719777</v>
      </c>
      <c r="AF24" s="222">
        <v>719934</v>
      </c>
      <c r="AG24" s="222">
        <v>857205</v>
      </c>
      <c r="AH24" s="222">
        <v>653793</v>
      </c>
      <c r="AI24" s="222">
        <v>731807</v>
      </c>
      <c r="AJ24" s="222">
        <v>793423</v>
      </c>
    </row>
    <row r="25" spans="1:36" ht="17.25">
      <c r="A25" s="247" t="s">
        <v>1378</v>
      </c>
      <c r="B25" s="258" t="s">
        <v>1376</v>
      </c>
      <c r="C25" s="248">
        <f t="shared" si="1"/>
        <v>22890932</v>
      </c>
      <c r="D25" s="249">
        <f t="shared" si="2"/>
        <v>15.30306120604647</v>
      </c>
      <c r="E25" s="250">
        <v>666617</v>
      </c>
      <c r="F25" s="250">
        <v>635538</v>
      </c>
      <c r="G25" s="250">
        <v>656815</v>
      </c>
      <c r="H25" s="250">
        <v>672123</v>
      </c>
      <c r="I25" s="250">
        <v>721795</v>
      </c>
      <c r="J25" s="250">
        <v>698727</v>
      </c>
      <c r="K25" s="250">
        <v>714658</v>
      </c>
      <c r="L25" s="250">
        <v>762812</v>
      </c>
      <c r="M25" s="250">
        <v>695743</v>
      </c>
      <c r="N25" s="250">
        <v>754366</v>
      </c>
      <c r="O25" s="250">
        <v>710737</v>
      </c>
      <c r="P25" s="250">
        <v>710989</v>
      </c>
      <c r="Q25" s="250">
        <v>745117</v>
      </c>
      <c r="R25" s="250">
        <v>675929</v>
      </c>
      <c r="S25" s="250">
        <v>734132</v>
      </c>
      <c r="T25" s="250">
        <v>711401</v>
      </c>
      <c r="U25" s="250">
        <v>784128</v>
      </c>
      <c r="V25" s="250">
        <v>708919</v>
      </c>
      <c r="W25" s="250">
        <v>745887</v>
      </c>
      <c r="X25" s="250">
        <v>842490</v>
      </c>
      <c r="Y25" s="250">
        <v>728937</v>
      </c>
      <c r="Z25" s="250">
        <v>725673</v>
      </c>
      <c r="AA25" s="250">
        <v>724452</v>
      </c>
      <c r="AB25" s="250">
        <v>245317</v>
      </c>
      <c r="AC25" s="250">
        <v>943814</v>
      </c>
      <c r="AD25" s="250">
        <v>758979</v>
      </c>
      <c r="AE25" s="250">
        <v>729982</v>
      </c>
      <c r="AF25" s="250">
        <v>720075</v>
      </c>
      <c r="AG25" s="250">
        <v>792457</v>
      </c>
      <c r="AH25" s="250">
        <v>646157</v>
      </c>
      <c r="AI25" s="250">
        <v>735009</v>
      </c>
      <c r="AJ25" s="250">
        <v>791157</v>
      </c>
    </row>
    <row r="26" spans="1:36" ht="17.25">
      <c r="A26" s="223" t="s">
        <v>1389</v>
      </c>
      <c r="B26" s="220" t="s">
        <v>1376</v>
      </c>
      <c r="C26" s="218">
        <f t="shared" si="1"/>
        <v>22997638</v>
      </c>
      <c r="D26" s="221">
        <f t="shared" si="2"/>
        <v>15.210076580161616</v>
      </c>
      <c r="E26" s="222">
        <v>637593</v>
      </c>
      <c r="F26" s="222">
        <v>704954</v>
      </c>
      <c r="G26" s="222">
        <v>781480</v>
      </c>
      <c r="H26" s="222">
        <v>663477</v>
      </c>
      <c r="I26" s="222">
        <v>737709</v>
      </c>
      <c r="J26" s="222">
        <v>664994</v>
      </c>
      <c r="K26" s="222">
        <v>670531</v>
      </c>
      <c r="L26" s="222">
        <v>747782</v>
      </c>
      <c r="M26" s="222">
        <v>669739</v>
      </c>
      <c r="N26" s="222">
        <v>905832</v>
      </c>
      <c r="O26" s="222">
        <v>674659</v>
      </c>
      <c r="P26" s="222">
        <v>683440</v>
      </c>
      <c r="Q26" s="222">
        <v>708652</v>
      </c>
      <c r="R26" s="222">
        <v>610606</v>
      </c>
      <c r="S26" s="222">
        <v>704561</v>
      </c>
      <c r="T26" s="222">
        <v>681405</v>
      </c>
      <c r="U26" s="222">
        <v>746549</v>
      </c>
      <c r="V26" s="222">
        <v>675646</v>
      </c>
      <c r="W26" s="222">
        <v>720084</v>
      </c>
      <c r="X26" s="222">
        <v>799870</v>
      </c>
      <c r="Y26" s="222">
        <v>702768</v>
      </c>
      <c r="Z26" s="222">
        <v>709635</v>
      </c>
      <c r="AA26" s="222">
        <v>695658</v>
      </c>
      <c r="AB26" s="222">
        <v>293882</v>
      </c>
      <c r="AC26" s="222">
        <v>898766</v>
      </c>
      <c r="AD26" s="222">
        <v>749015</v>
      </c>
      <c r="AE26" s="222">
        <v>703835</v>
      </c>
      <c r="AF26" s="222">
        <v>736198</v>
      </c>
      <c r="AG26" s="222">
        <v>1132721</v>
      </c>
      <c r="AH26" s="222">
        <v>681411</v>
      </c>
      <c r="AI26" s="222">
        <v>720947</v>
      </c>
      <c r="AJ26" s="222">
        <v>783239</v>
      </c>
    </row>
    <row r="27" spans="1:36" ht="17.25">
      <c r="A27" s="223" t="s">
        <v>1390</v>
      </c>
      <c r="B27" s="220" t="s">
        <v>1391</v>
      </c>
      <c r="C27" s="218">
        <f t="shared" si="1"/>
        <v>23228699</v>
      </c>
      <c r="D27" s="221">
        <f t="shared" si="2"/>
        <v>15.32637560987985</v>
      </c>
      <c r="E27" s="222">
        <v>645723</v>
      </c>
      <c r="F27" s="222">
        <v>655714</v>
      </c>
      <c r="G27" s="222">
        <v>667377</v>
      </c>
      <c r="H27" s="222">
        <v>683020</v>
      </c>
      <c r="I27" s="222">
        <v>728343</v>
      </c>
      <c r="J27" s="222">
        <v>697164</v>
      </c>
      <c r="K27" s="222">
        <v>718716</v>
      </c>
      <c r="L27" s="222">
        <v>753817</v>
      </c>
      <c r="M27" s="222">
        <v>723561</v>
      </c>
      <c r="N27" s="222">
        <v>774824</v>
      </c>
      <c r="O27" s="222">
        <v>692573</v>
      </c>
      <c r="P27" s="222">
        <v>708573</v>
      </c>
      <c r="Q27" s="222">
        <v>728651</v>
      </c>
      <c r="R27" s="222">
        <v>647761</v>
      </c>
      <c r="S27" s="222">
        <v>725948</v>
      </c>
      <c r="T27" s="222">
        <v>699018</v>
      </c>
      <c r="U27" s="222">
        <v>780783</v>
      </c>
      <c r="V27" s="222">
        <v>692495</v>
      </c>
      <c r="W27" s="222">
        <v>732642</v>
      </c>
      <c r="X27" s="222">
        <v>842413</v>
      </c>
      <c r="Y27" s="222">
        <v>714956</v>
      </c>
      <c r="Z27" s="222">
        <v>728133</v>
      </c>
      <c r="AA27" s="222">
        <v>711767</v>
      </c>
      <c r="AB27" s="222">
        <v>249105</v>
      </c>
      <c r="AC27" s="222">
        <v>950165</v>
      </c>
      <c r="AD27" s="222">
        <v>780521</v>
      </c>
      <c r="AE27" s="222">
        <v>769037</v>
      </c>
      <c r="AF27" s="222">
        <v>717162</v>
      </c>
      <c r="AG27" s="222">
        <v>768418</v>
      </c>
      <c r="AH27" s="222">
        <v>964033</v>
      </c>
      <c r="AI27" s="222">
        <v>740457</v>
      </c>
      <c r="AJ27" s="222">
        <v>835829</v>
      </c>
    </row>
    <row r="28" spans="1:36" ht="17.25">
      <c r="A28" s="223" t="s">
        <v>1392</v>
      </c>
      <c r="B28" s="220" t="s">
        <v>1376</v>
      </c>
      <c r="C28" s="218">
        <f t="shared" si="1"/>
        <v>23398381</v>
      </c>
      <c r="D28" s="221">
        <f t="shared" si="2"/>
        <v>15.608861998741608</v>
      </c>
      <c r="E28" s="222">
        <v>679000</v>
      </c>
      <c r="F28" s="222">
        <v>649324</v>
      </c>
      <c r="G28" s="222">
        <v>684609</v>
      </c>
      <c r="H28" s="222">
        <v>695103</v>
      </c>
      <c r="I28" s="222">
        <v>736896</v>
      </c>
      <c r="J28" s="222">
        <v>704006</v>
      </c>
      <c r="K28" s="222">
        <v>734826</v>
      </c>
      <c r="L28" s="222">
        <v>770788</v>
      </c>
      <c r="M28" s="222">
        <v>716643</v>
      </c>
      <c r="N28" s="222">
        <v>775143</v>
      </c>
      <c r="O28" s="222">
        <v>717802</v>
      </c>
      <c r="P28" s="222">
        <v>716315</v>
      </c>
      <c r="Q28" s="222">
        <v>750052</v>
      </c>
      <c r="R28" s="222">
        <v>685109</v>
      </c>
      <c r="S28" s="222">
        <v>738888</v>
      </c>
      <c r="T28" s="222">
        <v>717303</v>
      </c>
      <c r="U28" s="222">
        <v>803966</v>
      </c>
      <c r="V28" s="222">
        <v>717054</v>
      </c>
      <c r="W28" s="222">
        <v>754044</v>
      </c>
      <c r="X28" s="222">
        <v>864719</v>
      </c>
      <c r="Y28" s="222">
        <v>736808</v>
      </c>
      <c r="Z28" s="222">
        <v>737001</v>
      </c>
      <c r="AA28" s="222">
        <v>733660</v>
      </c>
      <c r="AB28" s="222">
        <v>250087</v>
      </c>
      <c r="AC28" s="222">
        <v>965761</v>
      </c>
      <c r="AD28" s="222">
        <v>772110</v>
      </c>
      <c r="AE28" s="222">
        <v>745076</v>
      </c>
      <c r="AF28" s="222">
        <v>743338</v>
      </c>
      <c r="AG28" s="222">
        <v>893055</v>
      </c>
      <c r="AH28" s="222">
        <v>660307</v>
      </c>
      <c r="AI28" s="222">
        <v>744937</v>
      </c>
      <c r="AJ28" s="222">
        <v>804651</v>
      </c>
    </row>
    <row r="29" spans="1:36" ht="17.25">
      <c r="A29" s="223" t="s">
        <v>1393</v>
      </c>
      <c r="B29" s="224" t="s">
        <v>1394</v>
      </c>
      <c r="C29" s="218">
        <f t="shared" si="1"/>
        <v>23821378</v>
      </c>
      <c r="D29" s="221">
        <f t="shared" si="2"/>
        <v>15.913394883029996</v>
      </c>
      <c r="E29" s="222">
        <v>690102</v>
      </c>
      <c r="F29" s="222">
        <v>677078</v>
      </c>
      <c r="G29" s="222">
        <v>705217</v>
      </c>
      <c r="H29" s="222">
        <v>700996</v>
      </c>
      <c r="I29" s="222">
        <v>755483</v>
      </c>
      <c r="J29" s="222">
        <v>722965</v>
      </c>
      <c r="K29" s="222">
        <v>740190</v>
      </c>
      <c r="L29" s="222">
        <v>788801</v>
      </c>
      <c r="M29" s="222">
        <v>730941</v>
      </c>
      <c r="N29" s="222">
        <v>810844</v>
      </c>
      <c r="O29" s="222">
        <v>732259</v>
      </c>
      <c r="P29" s="222">
        <v>731795</v>
      </c>
      <c r="Q29" s="222">
        <v>768349</v>
      </c>
      <c r="R29" s="222">
        <v>699849</v>
      </c>
      <c r="S29" s="222">
        <v>755537</v>
      </c>
      <c r="T29" s="222">
        <v>732434</v>
      </c>
      <c r="U29" s="222">
        <v>811142</v>
      </c>
      <c r="V29" s="222">
        <v>732588</v>
      </c>
      <c r="W29" s="222">
        <v>769759</v>
      </c>
      <c r="X29" s="222">
        <v>874247</v>
      </c>
      <c r="Y29" s="222">
        <v>751723</v>
      </c>
      <c r="Z29" s="222">
        <v>751395</v>
      </c>
      <c r="AA29" s="222">
        <v>748435</v>
      </c>
      <c r="AB29" s="222">
        <v>277912</v>
      </c>
      <c r="AC29" s="222">
        <v>978688</v>
      </c>
      <c r="AD29" s="222">
        <v>782010</v>
      </c>
      <c r="AE29" s="222">
        <v>754587</v>
      </c>
      <c r="AF29" s="222">
        <v>743099</v>
      </c>
      <c r="AG29" s="222">
        <v>854403</v>
      </c>
      <c r="AH29" s="222">
        <v>676043</v>
      </c>
      <c r="AI29" s="222">
        <v>758646</v>
      </c>
      <c r="AJ29" s="222">
        <v>813861</v>
      </c>
    </row>
    <row r="30" spans="1:36" ht="17.25">
      <c r="A30" s="223" t="s">
        <v>1395</v>
      </c>
      <c r="B30" s="220" t="s">
        <v>1396</v>
      </c>
      <c r="C30" s="218">
        <f t="shared" si="1"/>
        <v>23943723</v>
      </c>
      <c r="D30" s="221">
        <f t="shared" si="2"/>
        <v>15.971791280127352</v>
      </c>
      <c r="E30" s="222">
        <v>690726</v>
      </c>
      <c r="F30" s="222">
        <v>667266</v>
      </c>
      <c r="G30" s="222">
        <v>710793</v>
      </c>
      <c r="H30" s="222">
        <v>705115</v>
      </c>
      <c r="I30" s="222">
        <v>758905</v>
      </c>
      <c r="J30" s="222">
        <v>723107</v>
      </c>
      <c r="K30" s="222">
        <v>754020</v>
      </c>
      <c r="L30" s="222">
        <v>791972</v>
      </c>
      <c r="M30" s="222">
        <v>730950</v>
      </c>
      <c r="N30" s="222">
        <v>803610</v>
      </c>
      <c r="O30" s="222">
        <v>732485</v>
      </c>
      <c r="P30" s="222">
        <v>731486</v>
      </c>
      <c r="Q30" s="222">
        <v>770155</v>
      </c>
      <c r="R30" s="222">
        <v>701679</v>
      </c>
      <c r="S30" s="222">
        <v>756092</v>
      </c>
      <c r="T30" s="222">
        <v>732489</v>
      </c>
      <c r="U30" s="222">
        <v>820263</v>
      </c>
      <c r="V30" s="222">
        <v>733796</v>
      </c>
      <c r="W30" s="222">
        <v>772632</v>
      </c>
      <c r="X30" s="222">
        <v>882266</v>
      </c>
      <c r="Y30" s="222">
        <v>750991</v>
      </c>
      <c r="Z30" s="222">
        <v>752821</v>
      </c>
      <c r="AA30" s="222">
        <v>749849</v>
      </c>
      <c r="AB30" s="222">
        <v>264990</v>
      </c>
      <c r="AC30" s="222">
        <v>987046</v>
      </c>
      <c r="AD30" s="222">
        <v>784885</v>
      </c>
      <c r="AE30" s="222">
        <v>759716</v>
      </c>
      <c r="AF30" s="222">
        <v>744515</v>
      </c>
      <c r="AG30" s="222">
        <v>928635</v>
      </c>
      <c r="AH30" s="222">
        <v>670796</v>
      </c>
      <c r="AI30" s="222">
        <v>763098</v>
      </c>
      <c r="AJ30" s="222">
        <v>816574</v>
      </c>
    </row>
    <row r="31" spans="1:36" ht="17.25">
      <c r="A31" s="223" t="s">
        <v>1397</v>
      </c>
      <c r="B31" s="220" t="s">
        <v>1398</v>
      </c>
      <c r="C31" s="218">
        <f t="shared" si="1"/>
        <v>24171369</v>
      </c>
      <c r="D31" s="221">
        <f t="shared" si="2"/>
        <v>16.133838539211347</v>
      </c>
      <c r="E31" s="222">
        <v>695053</v>
      </c>
      <c r="F31" s="222">
        <v>674421</v>
      </c>
      <c r="G31" s="222">
        <v>713701</v>
      </c>
      <c r="H31" s="222">
        <v>714416</v>
      </c>
      <c r="I31" s="222">
        <v>756947</v>
      </c>
      <c r="J31" s="222">
        <v>723309</v>
      </c>
      <c r="K31" s="222">
        <v>772122</v>
      </c>
      <c r="L31" s="222">
        <v>794291</v>
      </c>
      <c r="M31" s="222">
        <v>751089</v>
      </c>
      <c r="N31" s="222">
        <v>816721</v>
      </c>
      <c r="O31" s="222">
        <v>735882</v>
      </c>
      <c r="P31" s="222">
        <v>735972</v>
      </c>
      <c r="Q31" s="222">
        <v>771376</v>
      </c>
      <c r="R31" s="222">
        <v>703979</v>
      </c>
      <c r="S31" s="222">
        <v>759439</v>
      </c>
      <c r="T31" s="222">
        <v>736062</v>
      </c>
      <c r="U31" s="222">
        <v>842643</v>
      </c>
      <c r="V31" s="222">
        <v>738597</v>
      </c>
      <c r="W31" s="222">
        <v>774384</v>
      </c>
      <c r="X31" s="222">
        <v>905860</v>
      </c>
      <c r="Y31" s="222">
        <v>755596</v>
      </c>
      <c r="Z31" s="222">
        <v>759039</v>
      </c>
      <c r="AA31" s="222">
        <v>754176</v>
      </c>
      <c r="AB31" s="222">
        <v>288300</v>
      </c>
      <c r="AC31" s="222">
        <v>1012438</v>
      </c>
      <c r="AD31" s="222">
        <v>791701</v>
      </c>
      <c r="AE31" s="222">
        <v>759268</v>
      </c>
      <c r="AF31" s="222">
        <v>753827</v>
      </c>
      <c r="AG31" s="222">
        <v>914077</v>
      </c>
      <c r="AH31" s="222">
        <v>677040</v>
      </c>
      <c r="AI31" s="222">
        <v>765493</v>
      </c>
      <c r="AJ31" s="222">
        <v>824150</v>
      </c>
    </row>
    <row r="32" spans="1:36" ht="17.25">
      <c r="A32" s="223" t="s">
        <v>1399</v>
      </c>
      <c r="B32" s="220" t="s">
        <v>1400</v>
      </c>
      <c r="C32" s="218">
        <f t="shared" si="1"/>
        <v>24269071</v>
      </c>
      <c r="D32" s="221">
        <f t="shared" si="2"/>
        <v>16.206084468775419</v>
      </c>
      <c r="E32" s="222">
        <v>701844</v>
      </c>
      <c r="F32" s="222">
        <v>665104</v>
      </c>
      <c r="G32" s="222">
        <v>688239</v>
      </c>
      <c r="H32" s="222">
        <v>723714</v>
      </c>
      <c r="I32" s="222">
        <v>752623</v>
      </c>
      <c r="J32" s="222">
        <v>721225</v>
      </c>
      <c r="K32" s="222">
        <v>791854</v>
      </c>
      <c r="L32" s="222">
        <v>791989</v>
      </c>
      <c r="M32" s="222">
        <v>776166</v>
      </c>
      <c r="N32" s="222">
        <v>789040</v>
      </c>
      <c r="O32" s="222">
        <v>736233</v>
      </c>
      <c r="P32" s="222">
        <v>741700</v>
      </c>
      <c r="Q32" s="222">
        <v>774170</v>
      </c>
      <c r="R32" s="222">
        <v>709615</v>
      </c>
      <c r="S32" s="222">
        <v>763320</v>
      </c>
      <c r="T32" s="222">
        <v>739839</v>
      </c>
      <c r="U32" s="222">
        <v>860252</v>
      </c>
      <c r="V32" s="222">
        <v>739559</v>
      </c>
      <c r="W32" s="222">
        <v>778676</v>
      </c>
      <c r="X32" s="222">
        <v>938919</v>
      </c>
      <c r="Y32" s="222">
        <v>758621</v>
      </c>
      <c r="Z32" s="222">
        <v>757700</v>
      </c>
      <c r="AA32" s="222">
        <v>758852</v>
      </c>
      <c r="AB32" s="222">
        <v>276314</v>
      </c>
      <c r="AC32" s="222">
        <v>1046788</v>
      </c>
      <c r="AD32" s="222">
        <v>794129</v>
      </c>
      <c r="AE32" s="222">
        <v>768981</v>
      </c>
      <c r="AF32" s="222">
        <v>753680</v>
      </c>
      <c r="AG32" s="222">
        <v>900607</v>
      </c>
      <c r="AH32" s="222">
        <v>675411</v>
      </c>
      <c r="AI32" s="222">
        <v>767559</v>
      </c>
      <c r="AJ32" s="222">
        <v>826348</v>
      </c>
    </row>
    <row r="33" spans="1:36" ht="17.25">
      <c r="A33" s="223" t="s">
        <v>1401</v>
      </c>
      <c r="B33" s="220" t="s">
        <v>1396</v>
      </c>
      <c r="C33" s="218">
        <f t="shared" si="1"/>
        <v>24322976</v>
      </c>
      <c r="D33" s="221">
        <f t="shared" si="2"/>
        <v>16.207451940463809</v>
      </c>
      <c r="E33" s="222">
        <v>690070</v>
      </c>
      <c r="F33" s="222">
        <v>688108</v>
      </c>
      <c r="G33" s="222">
        <v>737244</v>
      </c>
      <c r="H33" s="222">
        <v>716962</v>
      </c>
      <c r="I33" s="222">
        <v>772236</v>
      </c>
      <c r="J33" s="222">
        <v>726401</v>
      </c>
      <c r="K33" s="222">
        <v>759592</v>
      </c>
      <c r="L33" s="222">
        <v>805022</v>
      </c>
      <c r="M33" s="222">
        <v>740776</v>
      </c>
      <c r="N33" s="222">
        <v>851758</v>
      </c>
      <c r="O33" s="222">
        <v>740475</v>
      </c>
      <c r="P33" s="222">
        <v>739918</v>
      </c>
      <c r="Q33" s="222">
        <v>768931</v>
      </c>
      <c r="R33" s="222">
        <v>701403</v>
      </c>
      <c r="S33" s="222">
        <v>764934</v>
      </c>
      <c r="T33" s="222">
        <v>740871</v>
      </c>
      <c r="U33" s="222">
        <v>834268</v>
      </c>
      <c r="V33" s="222">
        <v>742392</v>
      </c>
      <c r="W33" s="222">
        <v>778627</v>
      </c>
      <c r="X33" s="222">
        <v>892018</v>
      </c>
      <c r="Y33" s="222">
        <v>759089</v>
      </c>
      <c r="Z33" s="222">
        <v>764171</v>
      </c>
      <c r="AA33" s="222">
        <v>756468</v>
      </c>
      <c r="AB33" s="222">
        <v>278200</v>
      </c>
      <c r="AC33" s="222">
        <v>999087</v>
      </c>
      <c r="AD33" s="222">
        <v>794680</v>
      </c>
      <c r="AE33" s="222">
        <v>761367</v>
      </c>
      <c r="AF33" s="222">
        <v>750639</v>
      </c>
      <c r="AG33" s="222">
        <v>980561</v>
      </c>
      <c r="AH33" s="222">
        <v>686136</v>
      </c>
      <c r="AI33" s="222">
        <v>770697</v>
      </c>
      <c r="AJ33" s="222">
        <v>829875</v>
      </c>
    </row>
    <row r="34" spans="1:36" ht="17.25">
      <c r="A34" s="223" t="s">
        <v>1402</v>
      </c>
      <c r="B34" s="224" t="s">
        <v>1403</v>
      </c>
      <c r="C34" s="218">
        <f t="shared" si="1"/>
        <v>24779487</v>
      </c>
      <c r="D34" s="221">
        <f t="shared" si="2"/>
        <v>16.563917714161715</v>
      </c>
      <c r="E34" s="222">
        <v>714617</v>
      </c>
      <c r="F34" s="222">
        <v>692598</v>
      </c>
      <c r="G34" s="222">
        <v>732837</v>
      </c>
      <c r="H34" s="222">
        <v>735941</v>
      </c>
      <c r="I34" s="222">
        <v>779769</v>
      </c>
      <c r="J34" s="222">
        <v>752109</v>
      </c>
      <c r="K34" s="222">
        <v>810410</v>
      </c>
      <c r="L34" s="222">
        <v>815548</v>
      </c>
      <c r="M34" s="222">
        <v>773791</v>
      </c>
      <c r="N34" s="222">
        <v>844333</v>
      </c>
      <c r="O34" s="222">
        <v>755251</v>
      </c>
      <c r="P34" s="222">
        <v>750038</v>
      </c>
      <c r="Q34" s="222">
        <v>791483</v>
      </c>
      <c r="R34" s="222">
        <v>724398</v>
      </c>
      <c r="S34" s="222">
        <v>777434</v>
      </c>
      <c r="T34" s="222">
        <v>752678</v>
      </c>
      <c r="U34" s="222">
        <v>871118</v>
      </c>
      <c r="V34" s="222">
        <v>759013</v>
      </c>
      <c r="W34" s="222">
        <v>793543</v>
      </c>
      <c r="X34" s="222">
        <v>931902</v>
      </c>
      <c r="Y34" s="222">
        <v>770990</v>
      </c>
      <c r="Z34" s="222">
        <v>777202</v>
      </c>
      <c r="AA34" s="222">
        <v>770695</v>
      </c>
      <c r="AB34" s="222">
        <v>312028</v>
      </c>
      <c r="AC34" s="222">
        <v>1035036</v>
      </c>
      <c r="AD34" s="222">
        <v>803801</v>
      </c>
      <c r="AE34" s="222">
        <v>779037</v>
      </c>
      <c r="AF34" s="222">
        <v>766871</v>
      </c>
      <c r="AG34" s="222">
        <v>891999</v>
      </c>
      <c r="AH34" s="222">
        <v>693626</v>
      </c>
      <c r="AI34" s="222">
        <v>782539</v>
      </c>
      <c r="AJ34" s="222">
        <v>836852</v>
      </c>
    </row>
    <row r="35" spans="1:36" ht="17.25">
      <c r="A35" s="223" t="s">
        <v>1404</v>
      </c>
      <c r="B35" s="220" t="s">
        <v>1405</v>
      </c>
      <c r="C35" s="218">
        <f t="shared" si="1"/>
        <v>25278052</v>
      </c>
      <c r="D35" s="221">
        <f t="shared" si="2"/>
        <v>16.685741292653617</v>
      </c>
      <c r="E35" s="222">
        <v>694251</v>
      </c>
      <c r="F35" s="222">
        <v>782507</v>
      </c>
      <c r="G35" s="222">
        <v>885490</v>
      </c>
      <c r="H35" s="222">
        <v>727079</v>
      </c>
      <c r="I35" s="222">
        <v>816338</v>
      </c>
      <c r="J35" s="222">
        <v>725587</v>
      </c>
      <c r="K35" s="222">
        <v>753071</v>
      </c>
      <c r="L35" s="222">
        <v>817017</v>
      </c>
      <c r="M35" s="222">
        <v>739602</v>
      </c>
      <c r="N35" s="222">
        <v>1001270</v>
      </c>
      <c r="O35" s="222">
        <v>731497</v>
      </c>
      <c r="P35" s="222">
        <v>742404</v>
      </c>
      <c r="Q35" s="222">
        <v>770721</v>
      </c>
      <c r="R35" s="222">
        <v>668598</v>
      </c>
      <c r="S35" s="222">
        <v>763227</v>
      </c>
      <c r="T35" s="222">
        <v>740377</v>
      </c>
      <c r="U35" s="222">
        <v>831460</v>
      </c>
      <c r="V35" s="222">
        <v>740866</v>
      </c>
      <c r="W35" s="222">
        <v>780290</v>
      </c>
      <c r="X35" s="222">
        <v>882944</v>
      </c>
      <c r="Y35" s="222">
        <v>758920</v>
      </c>
      <c r="Z35" s="222">
        <v>771193</v>
      </c>
      <c r="AA35" s="222">
        <v>755720</v>
      </c>
      <c r="AB35" s="222">
        <v>347874</v>
      </c>
      <c r="AC35" s="222">
        <v>992009</v>
      </c>
      <c r="AD35" s="222">
        <v>804922</v>
      </c>
      <c r="AE35" s="222">
        <v>762003</v>
      </c>
      <c r="AF35" s="222">
        <v>803454</v>
      </c>
      <c r="AG35" s="222">
        <v>1316007</v>
      </c>
      <c r="AH35" s="222">
        <v>756634</v>
      </c>
      <c r="AI35" s="222">
        <v>777454</v>
      </c>
      <c r="AJ35" s="222">
        <v>837266</v>
      </c>
    </row>
    <row r="36" spans="1:36" ht="17.25">
      <c r="A36" s="223" t="s">
        <v>1406</v>
      </c>
      <c r="B36" s="220" t="s">
        <v>1407</v>
      </c>
      <c r="C36" s="218">
        <f t="shared" si="1"/>
        <v>25434976</v>
      </c>
      <c r="D36" s="221">
        <f t="shared" si="2"/>
        <v>16.927389547178812</v>
      </c>
      <c r="E36" s="222">
        <v>722511</v>
      </c>
      <c r="F36" s="222">
        <v>717154</v>
      </c>
      <c r="G36" s="222">
        <v>795281</v>
      </c>
      <c r="H36" s="222">
        <v>740456</v>
      </c>
      <c r="I36" s="222">
        <v>795380</v>
      </c>
      <c r="J36" s="222">
        <v>765244</v>
      </c>
      <c r="K36" s="222">
        <v>810240</v>
      </c>
      <c r="L36" s="222">
        <v>833425</v>
      </c>
      <c r="M36" s="222">
        <v>772499</v>
      </c>
      <c r="N36" s="222">
        <v>910206</v>
      </c>
      <c r="O36" s="222">
        <v>765936</v>
      </c>
      <c r="P36" s="222">
        <v>760509</v>
      </c>
      <c r="Q36" s="222">
        <v>806630</v>
      </c>
      <c r="R36" s="222">
        <v>733684</v>
      </c>
      <c r="S36" s="222">
        <v>791400</v>
      </c>
      <c r="T36" s="222">
        <v>765077</v>
      </c>
      <c r="U36" s="222">
        <v>869407</v>
      </c>
      <c r="V36" s="222">
        <v>771601</v>
      </c>
      <c r="W36" s="222">
        <v>806154</v>
      </c>
      <c r="X36" s="222">
        <v>930891</v>
      </c>
      <c r="Y36" s="222">
        <v>782981</v>
      </c>
      <c r="Z36" s="222">
        <v>792012</v>
      </c>
      <c r="AA36" s="222">
        <v>780706</v>
      </c>
      <c r="AB36" s="222">
        <v>342100</v>
      </c>
      <c r="AC36" s="222">
        <v>1036303</v>
      </c>
      <c r="AD36" s="222">
        <v>814715</v>
      </c>
      <c r="AE36" s="222">
        <v>791491</v>
      </c>
      <c r="AF36" s="222">
        <v>760481</v>
      </c>
      <c r="AG36" s="222">
        <v>1118110</v>
      </c>
      <c r="AH36" s="222">
        <v>704372</v>
      </c>
      <c r="AI36" s="222">
        <v>799234</v>
      </c>
      <c r="AJ36" s="222">
        <v>848786</v>
      </c>
    </row>
    <row r="37" spans="1:36" ht="17.25">
      <c r="A37" s="223" t="s">
        <v>1408</v>
      </c>
      <c r="B37" s="224" t="s">
        <v>1409</v>
      </c>
      <c r="C37" s="218">
        <f t="shared" si="1"/>
        <v>25463734</v>
      </c>
      <c r="D37" s="221">
        <f t="shared" si="2"/>
        <v>17.08404419167255</v>
      </c>
      <c r="E37" s="222">
        <v>695417</v>
      </c>
      <c r="F37" s="222">
        <v>769244</v>
      </c>
      <c r="G37" s="222">
        <v>893595</v>
      </c>
      <c r="H37" s="222">
        <v>775945</v>
      </c>
      <c r="I37" s="222">
        <v>788369</v>
      </c>
      <c r="J37" s="222">
        <v>792767</v>
      </c>
      <c r="K37" s="222">
        <v>829705</v>
      </c>
      <c r="L37" s="222">
        <v>722864</v>
      </c>
      <c r="M37" s="222">
        <v>815331</v>
      </c>
      <c r="N37" s="222">
        <v>965950</v>
      </c>
      <c r="O37" s="222">
        <v>798461</v>
      </c>
      <c r="P37" s="222">
        <v>716359</v>
      </c>
      <c r="Q37" s="222">
        <v>869346</v>
      </c>
      <c r="R37" s="222">
        <v>792487</v>
      </c>
      <c r="S37" s="222">
        <v>736110</v>
      </c>
      <c r="T37" s="222">
        <v>791191</v>
      </c>
      <c r="U37" s="222">
        <v>836610</v>
      </c>
      <c r="V37" s="222">
        <v>720411</v>
      </c>
      <c r="W37" s="222">
        <v>783642</v>
      </c>
      <c r="X37" s="222">
        <v>945244</v>
      </c>
      <c r="Y37" s="222">
        <v>645610</v>
      </c>
      <c r="Z37" s="222">
        <v>824366</v>
      </c>
      <c r="AA37" s="222">
        <v>743989</v>
      </c>
      <c r="AB37" s="222">
        <v>592371</v>
      </c>
      <c r="AC37" s="222">
        <v>1009065</v>
      </c>
      <c r="AD37" s="222">
        <v>690388</v>
      </c>
      <c r="AE37" s="222">
        <v>853582</v>
      </c>
      <c r="AF37" s="222">
        <v>704778</v>
      </c>
      <c r="AG37" s="222">
        <v>873109</v>
      </c>
      <c r="AH37" s="222">
        <v>729455</v>
      </c>
      <c r="AI37" s="222">
        <v>829917</v>
      </c>
      <c r="AJ37" s="222">
        <v>928056</v>
      </c>
    </row>
    <row r="38" spans="1:36" ht="17.25">
      <c r="A38" s="223" t="s">
        <v>1410</v>
      </c>
      <c r="B38" s="220" t="s">
        <v>1411</v>
      </c>
      <c r="C38" s="218">
        <f t="shared" si="1"/>
        <v>25726550</v>
      </c>
      <c r="D38" s="221">
        <f t="shared" si="2"/>
        <v>17.181602551791606</v>
      </c>
      <c r="E38" s="222">
        <v>726381</v>
      </c>
      <c r="F38" s="222">
        <v>813298</v>
      </c>
      <c r="G38" s="222">
        <v>899621</v>
      </c>
      <c r="H38" s="222">
        <v>762468</v>
      </c>
      <c r="I38" s="222">
        <v>823718</v>
      </c>
      <c r="J38" s="222">
        <v>746436</v>
      </c>
      <c r="K38" s="222">
        <v>770453</v>
      </c>
      <c r="L38" s="222">
        <v>848755</v>
      </c>
      <c r="M38" s="222">
        <v>785951</v>
      </c>
      <c r="N38" s="222">
        <v>964317</v>
      </c>
      <c r="O38" s="222">
        <v>758395</v>
      </c>
      <c r="P38" s="222">
        <v>781787</v>
      </c>
      <c r="Q38" s="222">
        <v>793671</v>
      </c>
      <c r="R38" s="222">
        <v>727401</v>
      </c>
      <c r="S38" s="222">
        <v>794323</v>
      </c>
      <c r="T38" s="222">
        <v>766847</v>
      </c>
      <c r="U38" s="222">
        <v>880861</v>
      </c>
      <c r="V38" s="222">
        <v>776776</v>
      </c>
      <c r="W38" s="222">
        <v>808231</v>
      </c>
      <c r="X38" s="222">
        <v>928927</v>
      </c>
      <c r="Y38" s="222">
        <v>784010</v>
      </c>
      <c r="Z38" s="222">
        <v>819052</v>
      </c>
      <c r="AA38" s="222">
        <v>779054</v>
      </c>
      <c r="AB38" s="222">
        <v>430201</v>
      </c>
      <c r="AC38" s="222">
        <v>1046101</v>
      </c>
      <c r="AD38" s="222">
        <v>850101</v>
      </c>
      <c r="AE38" s="222">
        <v>778887</v>
      </c>
      <c r="AF38" s="222">
        <v>754113</v>
      </c>
      <c r="AG38" s="222">
        <v>881402</v>
      </c>
      <c r="AH38" s="222">
        <v>774263</v>
      </c>
      <c r="AI38" s="222">
        <v>808611</v>
      </c>
      <c r="AJ38" s="222">
        <v>862138</v>
      </c>
    </row>
    <row r="39" spans="1:36" ht="17.25">
      <c r="A39" s="247" t="s">
        <v>1491</v>
      </c>
      <c r="B39" s="257" t="s">
        <v>1492</v>
      </c>
      <c r="C39" s="248">
        <f t="shared" si="1"/>
        <v>25770550</v>
      </c>
      <c r="D39" s="249">
        <f t="shared" si="2"/>
        <v>17.120520679083</v>
      </c>
      <c r="E39" s="250">
        <v>719840</v>
      </c>
      <c r="F39" s="250">
        <v>743830</v>
      </c>
      <c r="G39" s="250">
        <v>803198</v>
      </c>
      <c r="H39" s="250">
        <v>774637</v>
      </c>
      <c r="I39" s="250">
        <v>816862</v>
      </c>
      <c r="J39" s="250">
        <v>749680</v>
      </c>
      <c r="K39" s="250">
        <v>795097</v>
      </c>
      <c r="L39" s="250">
        <v>858984</v>
      </c>
      <c r="M39" s="250">
        <v>799165</v>
      </c>
      <c r="N39" s="250">
        <v>931223</v>
      </c>
      <c r="O39" s="250">
        <v>755395</v>
      </c>
      <c r="P39" s="250">
        <v>772595</v>
      </c>
      <c r="Q39" s="250">
        <v>793427</v>
      </c>
      <c r="R39" s="250">
        <v>718965</v>
      </c>
      <c r="S39" s="250">
        <v>790537</v>
      </c>
      <c r="T39" s="250">
        <v>770830</v>
      </c>
      <c r="U39" s="250">
        <v>891849</v>
      </c>
      <c r="V39" s="250">
        <v>766892</v>
      </c>
      <c r="W39" s="250">
        <v>804221</v>
      </c>
      <c r="X39" s="250">
        <v>934340</v>
      </c>
      <c r="Y39" s="250">
        <v>785174</v>
      </c>
      <c r="Z39" s="250">
        <v>817960</v>
      </c>
      <c r="AA39" s="250">
        <v>781730</v>
      </c>
      <c r="AB39" s="250">
        <v>317657</v>
      </c>
      <c r="AC39" s="250">
        <v>1059285</v>
      </c>
      <c r="AD39" s="250">
        <v>841145</v>
      </c>
      <c r="AE39" s="250">
        <v>799183</v>
      </c>
      <c r="AF39" s="250">
        <v>782607</v>
      </c>
      <c r="AG39" s="250">
        <v>1160511</v>
      </c>
      <c r="AH39" s="250">
        <v>731038</v>
      </c>
      <c r="AI39" s="250">
        <v>822411</v>
      </c>
      <c r="AJ39" s="250">
        <v>880282</v>
      </c>
    </row>
    <row r="40" spans="1:36" ht="17.25">
      <c r="A40" s="223" t="s">
        <v>1412</v>
      </c>
      <c r="B40" s="220" t="s">
        <v>1413</v>
      </c>
      <c r="C40" s="218">
        <f t="shared" si="1"/>
        <v>25985223</v>
      </c>
      <c r="D40" s="221">
        <f t="shared" si="2"/>
        <v>17.305498893663525</v>
      </c>
      <c r="E40" s="222">
        <v>736718</v>
      </c>
      <c r="F40" s="222">
        <v>723095</v>
      </c>
      <c r="G40" s="222">
        <v>802552</v>
      </c>
      <c r="H40" s="222">
        <v>776258</v>
      </c>
      <c r="I40" s="222">
        <v>810512</v>
      </c>
      <c r="J40" s="222">
        <v>775403</v>
      </c>
      <c r="K40" s="222">
        <v>828264</v>
      </c>
      <c r="L40" s="222">
        <v>849592</v>
      </c>
      <c r="M40" s="222">
        <v>801520</v>
      </c>
      <c r="N40" s="222">
        <v>915858</v>
      </c>
      <c r="O40" s="222">
        <v>779604</v>
      </c>
      <c r="P40" s="222">
        <v>781925</v>
      </c>
      <c r="Q40" s="222">
        <v>818944</v>
      </c>
      <c r="R40" s="222">
        <v>749775</v>
      </c>
      <c r="S40" s="222">
        <v>808021</v>
      </c>
      <c r="T40" s="222">
        <v>783133</v>
      </c>
      <c r="U40" s="222">
        <v>897781</v>
      </c>
      <c r="V40" s="222">
        <v>789724</v>
      </c>
      <c r="W40" s="222">
        <v>824841</v>
      </c>
      <c r="X40" s="222">
        <v>961965</v>
      </c>
      <c r="Y40" s="222">
        <v>800967</v>
      </c>
      <c r="Z40" s="222">
        <v>810048</v>
      </c>
      <c r="AA40" s="222">
        <v>798130</v>
      </c>
      <c r="AB40" s="222">
        <v>327831</v>
      </c>
      <c r="AC40" s="222">
        <v>1072462</v>
      </c>
      <c r="AD40" s="222">
        <v>840863</v>
      </c>
      <c r="AE40" s="222">
        <v>809331</v>
      </c>
      <c r="AF40" s="222">
        <v>794837</v>
      </c>
      <c r="AG40" s="222">
        <v>1093728</v>
      </c>
      <c r="AH40" s="222">
        <v>727893</v>
      </c>
      <c r="AI40" s="222">
        <v>817378</v>
      </c>
      <c r="AJ40" s="222">
        <v>876270</v>
      </c>
    </row>
    <row r="41" spans="1:36" ht="17.25">
      <c r="A41" s="223" t="s">
        <v>1414</v>
      </c>
      <c r="B41" s="220" t="s">
        <v>1415</v>
      </c>
      <c r="C41" s="218">
        <f t="shared" si="1"/>
        <v>26036728</v>
      </c>
      <c r="D41" s="221">
        <f t="shared" si="2"/>
        <v>17.359387143405677</v>
      </c>
      <c r="E41" s="222">
        <v>738593</v>
      </c>
      <c r="F41" s="222">
        <v>754287</v>
      </c>
      <c r="G41" s="222">
        <v>772517</v>
      </c>
      <c r="H41" s="222">
        <v>772503</v>
      </c>
      <c r="I41" s="222">
        <v>815298</v>
      </c>
      <c r="J41" s="222">
        <v>820110</v>
      </c>
      <c r="K41" s="222">
        <v>852502</v>
      </c>
      <c r="L41" s="222">
        <v>846025</v>
      </c>
      <c r="M41" s="222">
        <v>808065</v>
      </c>
      <c r="N41" s="222">
        <v>892291</v>
      </c>
      <c r="O41" s="222">
        <v>782288</v>
      </c>
      <c r="P41" s="222">
        <v>785048</v>
      </c>
      <c r="Q41" s="222">
        <v>823438</v>
      </c>
      <c r="R41" s="222">
        <v>751421</v>
      </c>
      <c r="S41" s="222">
        <v>807016</v>
      </c>
      <c r="T41" s="222">
        <v>786399</v>
      </c>
      <c r="U41" s="222">
        <v>894633</v>
      </c>
      <c r="V41" s="222">
        <v>790294</v>
      </c>
      <c r="W41" s="222">
        <v>829687</v>
      </c>
      <c r="X41" s="222">
        <v>967708</v>
      </c>
      <c r="Y41" s="222">
        <v>805648</v>
      </c>
      <c r="Z41" s="222">
        <v>814176</v>
      </c>
      <c r="AA41" s="222">
        <v>804254</v>
      </c>
      <c r="AB41" s="222">
        <v>303458</v>
      </c>
      <c r="AC41" s="222">
        <v>1079473</v>
      </c>
      <c r="AD41" s="222">
        <v>847079</v>
      </c>
      <c r="AE41" s="222">
        <v>810923</v>
      </c>
      <c r="AF41" s="222">
        <v>802636</v>
      </c>
      <c r="AG41" s="222">
        <v>1041326</v>
      </c>
      <c r="AH41" s="222">
        <v>736266</v>
      </c>
      <c r="AI41" s="222">
        <v>820288</v>
      </c>
      <c r="AJ41" s="222">
        <v>881078</v>
      </c>
    </row>
    <row r="42" spans="1:36" ht="17.25">
      <c r="A42" s="223" t="s">
        <v>1416</v>
      </c>
      <c r="B42" s="220" t="s">
        <v>1417</v>
      </c>
      <c r="C42" s="218">
        <f t="shared" si="1"/>
        <v>26047200</v>
      </c>
      <c r="D42" s="221">
        <f t="shared" si="2"/>
        <v>17.346471957596584</v>
      </c>
      <c r="E42" s="222">
        <v>738127</v>
      </c>
      <c r="F42" s="222">
        <v>724111</v>
      </c>
      <c r="G42" s="222">
        <v>803659</v>
      </c>
      <c r="H42" s="222">
        <v>778425</v>
      </c>
      <c r="I42" s="222">
        <v>811056</v>
      </c>
      <c r="J42" s="222">
        <v>775950</v>
      </c>
      <c r="K42" s="222">
        <v>829755</v>
      </c>
      <c r="L42" s="222">
        <v>851605</v>
      </c>
      <c r="M42" s="222">
        <v>804276</v>
      </c>
      <c r="N42" s="222">
        <v>918628</v>
      </c>
      <c r="O42" s="222">
        <v>781010</v>
      </c>
      <c r="P42" s="222">
        <v>783580</v>
      </c>
      <c r="Q42" s="222">
        <v>820152</v>
      </c>
      <c r="R42" s="222">
        <v>751479</v>
      </c>
      <c r="S42" s="222">
        <v>809841</v>
      </c>
      <c r="T42" s="222">
        <v>784561</v>
      </c>
      <c r="U42" s="222">
        <v>900175</v>
      </c>
      <c r="V42" s="222">
        <v>791791</v>
      </c>
      <c r="W42" s="222">
        <v>826749</v>
      </c>
      <c r="X42" s="222">
        <v>965358</v>
      </c>
      <c r="Y42" s="222">
        <v>802824</v>
      </c>
      <c r="Z42" s="222">
        <v>812312</v>
      </c>
      <c r="AA42" s="222">
        <v>799747</v>
      </c>
      <c r="AB42" s="222">
        <v>329333</v>
      </c>
      <c r="AC42" s="222">
        <v>1076326</v>
      </c>
      <c r="AD42" s="222">
        <v>843515</v>
      </c>
      <c r="AE42" s="222">
        <v>811223</v>
      </c>
      <c r="AF42" s="222">
        <v>797111</v>
      </c>
      <c r="AG42" s="222">
        <v>1097692</v>
      </c>
      <c r="AH42" s="222">
        <v>729009</v>
      </c>
      <c r="AI42" s="222">
        <v>819119</v>
      </c>
      <c r="AJ42" s="222">
        <v>878701</v>
      </c>
    </row>
    <row r="43" spans="1:36" ht="17.25">
      <c r="A43" s="223" t="s">
        <v>1418</v>
      </c>
      <c r="B43" s="220" t="s">
        <v>1396</v>
      </c>
      <c r="C43" s="218">
        <f t="shared" si="1"/>
        <v>26058262</v>
      </c>
      <c r="D43" s="221">
        <f t="shared" si="2"/>
        <v>17.363514953290959</v>
      </c>
      <c r="E43" s="222">
        <v>739547</v>
      </c>
      <c r="F43" s="222">
        <v>731494</v>
      </c>
      <c r="G43" s="222">
        <v>804494</v>
      </c>
      <c r="H43" s="222">
        <v>777888</v>
      </c>
      <c r="I43" s="222">
        <v>817146</v>
      </c>
      <c r="J43" s="222">
        <v>779506</v>
      </c>
      <c r="K43" s="222">
        <v>834509</v>
      </c>
      <c r="L43" s="222">
        <v>854389</v>
      </c>
      <c r="M43" s="222">
        <v>807275</v>
      </c>
      <c r="N43" s="222">
        <v>926468</v>
      </c>
      <c r="O43" s="222">
        <v>782711</v>
      </c>
      <c r="P43" s="222">
        <v>784783</v>
      </c>
      <c r="Q43" s="222">
        <v>822126</v>
      </c>
      <c r="R43" s="222">
        <v>752694</v>
      </c>
      <c r="S43" s="222">
        <v>812003</v>
      </c>
      <c r="T43" s="222">
        <v>786055</v>
      </c>
      <c r="U43" s="222">
        <v>903232</v>
      </c>
      <c r="V43" s="222">
        <v>792680</v>
      </c>
      <c r="W43" s="222">
        <v>828340</v>
      </c>
      <c r="X43" s="222">
        <v>968045</v>
      </c>
      <c r="Y43" s="222">
        <v>804488</v>
      </c>
      <c r="Z43" s="222">
        <v>814188</v>
      </c>
      <c r="AA43" s="222">
        <v>801892</v>
      </c>
      <c r="AB43" s="222">
        <v>328638</v>
      </c>
      <c r="AC43" s="222">
        <v>1078971</v>
      </c>
      <c r="AD43" s="222">
        <v>844978</v>
      </c>
      <c r="AE43" s="222">
        <v>812539</v>
      </c>
      <c r="AF43" s="222">
        <v>796681</v>
      </c>
      <c r="AG43" s="222">
        <v>1118110</v>
      </c>
      <c r="AH43" s="222">
        <v>704372</v>
      </c>
      <c r="AI43" s="222">
        <v>799234</v>
      </c>
      <c r="AJ43" s="222">
        <v>848786</v>
      </c>
    </row>
    <row r="44" spans="1:36" ht="17.25">
      <c r="A44" s="223" t="s">
        <v>1419</v>
      </c>
      <c r="B44" s="220" t="s">
        <v>1420</v>
      </c>
      <c r="C44" s="218">
        <f t="shared" ref="C44:C64" si="3">SUM(E44:AL44)</f>
        <v>26230716</v>
      </c>
      <c r="D44" s="221">
        <f t="shared" ref="D44:D79" si="4">((E44*100/4457012)+(F44*100/4666092)+(G44*100/4564694)+(H44*100/3934071)+(I44*100/4887915)+(J44*100/4213444)+(K44*100/3969347)+(L44*100/4648398)+(M44*100/4423667)+(N44*100/4183633)+(O44*100/4598571)+(P44*100/4650256)+(Q44*100/4428442)+(R44*100/3615242)+(S44*100/5768156)+(T44*100/4495508)+(U44*100/4650166)+(V44*100/4800546)+(W44*100/5054225)+(X44*100/4265815)+(Y44*100/4769289)+(Z44*100/4139514)+(AA44*100/4248764)+(AB44*100/4567817)+(AC44*100/6356919)+(AD44*100/4414836)+(AE44*100/5105832)+(AF44*100/5712519)+(AG44*100/11302195)+(AI44*100/5427923)+(AJ44*100/4134752))/31</f>
        <v>17.432415786133667</v>
      </c>
      <c r="E44" s="222">
        <v>734810</v>
      </c>
      <c r="F44" s="222">
        <v>741625</v>
      </c>
      <c r="G44" s="222">
        <v>780091</v>
      </c>
      <c r="H44" s="222">
        <v>777389</v>
      </c>
      <c r="I44" s="222">
        <v>818721</v>
      </c>
      <c r="J44" s="222">
        <v>763632</v>
      </c>
      <c r="K44" s="222">
        <v>858478</v>
      </c>
      <c r="L44" s="222">
        <v>841540</v>
      </c>
      <c r="M44" s="222">
        <v>829138</v>
      </c>
      <c r="N44" s="222">
        <v>919929</v>
      </c>
      <c r="O44" s="222">
        <v>779564</v>
      </c>
      <c r="P44" s="222">
        <v>779241</v>
      </c>
      <c r="Q44" s="222">
        <v>815665</v>
      </c>
      <c r="R44" s="222">
        <v>749277</v>
      </c>
      <c r="S44" s="222">
        <v>803821</v>
      </c>
      <c r="T44" s="222">
        <v>781108</v>
      </c>
      <c r="U44" s="222">
        <v>932466</v>
      </c>
      <c r="V44" s="222">
        <v>785895</v>
      </c>
      <c r="W44" s="222">
        <v>817712</v>
      </c>
      <c r="X44" s="222">
        <v>998322</v>
      </c>
      <c r="Y44" s="222">
        <v>795607</v>
      </c>
      <c r="Z44" s="222">
        <v>808550</v>
      </c>
      <c r="AA44" s="222">
        <v>794478</v>
      </c>
      <c r="AB44" s="222">
        <v>360145</v>
      </c>
      <c r="AC44" s="222">
        <v>1105584</v>
      </c>
      <c r="AD44" s="222">
        <v>837762</v>
      </c>
      <c r="AE44" s="222">
        <v>802093</v>
      </c>
      <c r="AF44" s="222">
        <v>815886</v>
      </c>
      <c r="AG44" s="222">
        <v>1191956</v>
      </c>
      <c r="AH44" s="222">
        <v>730282</v>
      </c>
      <c r="AI44" s="222">
        <v>809750</v>
      </c>
      <c r="AJ44" s="222">
        <v>870199</v>
      </c>
    </row>
    <row r="45" spans="1:36" ht="17.25">
      <c r="A45" s="223" t="s">
        <v>1421</v>
      </c>
      <c r="B45" s="224" t="s">
        <v>1422</v>
      </c>
      <c r="C45" s="218">
        <f t="shared" si="3"/>
        <v>26327525</v>
      </c>
      <c r="D45" s="221">
        <f t="shared" si="4"/>
        <v>17.628200331299027</v>
      </c>
      <c r="E45" s="222">
        <v>753212</v>
      </c>
      <c r="F45" s="222">
        <v>716201</v>
      </c>
      <c r="G45" s="222">
        <v>726228</v>
      </c>
      <c r="H45" s="222">
        <v>767273</v>
      </c>
      <c r="I45" s="222">
        <v>789744</v>
      </c>
      <c r="J45" s="222">
        <v>802306</v>
      </c>
      <c r="K45" s="222">
        <v>818553</v>
      </c>
      <c r="L45" s="222">
        <v>824272</v>
      </c>
      <c r="M45" s="222">
        <v>862574</v>
      </c>
      <c r="N45" s="222">
        <v>844585</v>
      </c>
      <c r="O45" s="222">
        <v>820686</v>
      </c>
      <c r="P45" s="222">
        <v>771079</v>
      </c>
      <c r="Q45" s="222">
        <v>855173</v>
      </c>
      <c r="R45" s="222">
        <v>736507</v>
      </c>
      <c r="S45" s="222">
        <v>849328</v>
      </c>
      <c r="T45" s="222">
        <v>793732</v>
      </c>
      <c r="U45" s="222">
        <v>959629</v>
      </c>
      <c r="V45" s="222">
        <v>842895</v>
      </c>
      <c r="W45" s="222">
        <v>880863</v>
      </c>
      <c r="X45" s="222">
        <v>1102390</v>
      </c>
      <c r="Y45" s="222">
        <v>835106</v>
      </c>
      <c r="Z45" s="222">
        <v>860124</v>
      </c>
      <c r="AA45" s="222">
        <v>826828</v>
      </c>
      <c r="AB45" s="222">
        <v>290267</v>
      </c>
      <c r="AC45" s="222">
        <v>1139106</v>
      </c>
      <c r="AD45" s="222">
        <v>874652</v>
      </c>
      <c r="AE45" s="222">
        <v>807812</v>
      </c>
      <c r="AF45" s="222">
        <v>788403</v>
      </c>
      <c r="AG45" s="222">
        <v>875402</v>
      </c>
      <c r="AH45" s="222">
        <v>717855</v>
      </c>
      <c r="AI45" s="222">
        <v>866517</v>
      </c>
      <c r="AJ45" s="222">
        <v>928223</v>
      </c>
    </row>
    <row r="46" spans="1:36" ht="17.25">
      <c r="A46" s="223" t="s">
        <v>1423</v>
      </c>
      <c r="B46" s="220" t="s">
        <v>1424</v>
      </c>
      <c r="C46" s="218">
        <f t="shared" si="3"/>
        <v>26381116</v>
      </c>
      <c r="D46" s="221">
        <f t="shared" si="4"/>
        <v>17.669096380486202</v>
      </c>
      <c r="E46" s="222">
        <v>758199</v>
      </c>
      <c r="F46" s="222">
        <v>713768</v>
      </c>
      <c r="G46" s="222">
        <v>730916</v>
      </c>
      <c r="H46" s="222">
        <v>806076</v>
      </c>
      <c r="I46" s="222">
        <v>808809</v>
      </c>
      <c r="J46" s="222">
        <v>772772</v>
      </c>
      <c r="K46" s="222">
        <v>916982</v>
      </c>
      <c r="L46" s="222">
        <v>845120</v>
      </c>
      <c r="M46" s="222">
        <v>896383</v>
      </c>
      <c r="N46" s="222">
        <v>842120</v>
      </c>
      <c r="O46" s="222">
        <v>791050</v>
      </c>
      <c r="P46" s="222">
        <v>793526</v>
      </c>
      <c r="Q46" s="222">
        <v>829476</v>
      </c>
      <c r="R46" s="222">
        <v>766484</v>
      </c>
      <c r="S46" s="222">
        <v>814853</v>
      </c>
      <c r="T46" s="222">
        <v>892827</v>
      </c>
      <c r="U46" s="222">
        <v>983107</v>
      </c>
      <c r="V46" s="222">
        <v>794221</v>
      </c>
      <c r="W46" s="222">
        <v>834433</v>
      </c>
      <c r="X46" s="222">
        <v>1080891</v>
      </c>
      <c r="Y46" s="222">
        <v>810145</v>
      </c>
      <c r="Z46" s="222">
        <v>811154</v>
      </c>
      <c r="AA46" s="222">
        <v>812370</v>
      </c>
      <c r="AB46" s="222">
        <v>298666</v>
      </c>
      <c r="AC46" s="222">
        <v>1185274</v>
      </c>
      <c r="AD46" s="222">
        <v>848217</v>
      </c>
      <c r="AE46" s="222">
        <v>822874</v>
      </c>
      <c r="AF46" s="222">
        <v>809902</v>
      </c>
      <c r="AG46" s="222">
        <v>877263</v>
      </c>
      <c r="AH46" s="222">
        <v>728318</v>
      </c>
      <c r="AI46" s="222">
        <v>822438</v>
      </c>
      <c r="AJ46" s="222">
        <v>882482</v>
      </c>
    </row>
    <row r="47" spans="1:36" ht="17.25">
      <c r="A47" s="223" t="s">
        <v>1425</v>
      </c>
      <c r="B47" s="220" t="s">
        <v>1426</v>
      </c>
      <c r="C47" s="218">
        <f t="shared" si="3"/>
        <v>26639764</v>
      </c>
      <c r="D47" s="221">
        <f t="shared" si="4"/>
        <v>17.715450367450831</v>
      </c>
      <c r="E47" s="222">
        <v>754171</v>
      </c>
      <c r="F47" s="222">
        <v>763833</v>
      </c>
      <c r="G47" s="222">
        <v>845715</v>
      </c>
      <c r="H47" s="222">
        <v>754068</v>
      </c>
      <c r="I47" s="222">
        <v>826450</v>
      </c>
      <c r="J47" s="222">
        <v>792261</v>
      </c>
      <c r="K47" s="222">
        <v>859868</v>
      </c>
      <c r="L47" s="222">
        <v>856488</v>
      </c>
      <c r="M47" s="222">
        <v>812148</v>
      </c>
      <c r="N47" s="222">
        <v>985635</v>
      </c>
      <c r="O47" s="222">
        <v>795922</v>
      </c>
      <c r="P47" s="222">
        <v>793294</v>
      </c>
      <c r="Q47" s="222">
        <v>838695</v>
      </c>
      <c r="R47" s="222">
        <v>765106</v>
      </c>
      <c r="S47" s="222">
        <v>815705</v>
      </c>
      <c r="T47" s="222">
        <v>800181</v>
      </c>
      <c r="U47" s="222">
        <v>925038</v>
      </c>
      <c r="V47" s="222">
        <v>807809</v>
      </c>
      <c r="W47" s="222">
        <v>837629</v>
      </c>
      <c r="X47" s="222">
        <v>984811</v>
      </c>
      <c r="Y47" s="222">
        <v>808638</v>
      </c>
      <c r="Z47" s="222">
        <v>824643</v>
      </c>
      <c r="AA47" s="222">
        <v>801519</v>
      </c>
      <c r="AB47" s="222">
        <v>416972</v>
      </c>
      <c r="AC47" s="222">
        <v>1094225</v>
      </c>
      <c r="AD47" s="222">
        <v>837554</v>
      </c>
      <c r="AE47" s="222">
        <v>820144</v>
      </c>
      <c r="AF47" s="222">
        <v>772113</v>
      </c>
      <c r="AG47" s="222">
        <v>1237520</v>
      </c>
      <c r="AH47" s="222">
        <v>722499</v>
      </c>
      <c r="AI47" s="222">
        <v>824039</v>
      </c>
      <c r="AJ47" s="222">
        <v>865071</v>
      </c>
    </row>
    <row r="48" spans="1:36" ht="17.25">
      <c r="A48" s="223" t="s">
        <v>1427</v>
      </c>
      <c r="B48" s="220" t="s">
        <v>1428</v>
      </c>
      <c r="C48" s="218">
        <f t="shared" si="3"/>
        <v>26946119</v>
      </c>
      <c r="D48" s="221">
        <f t="shared" si="4"/>
        <v>18.065182157884539</v>
      </c>
      <c r="E48" s="222">
        <v>780844</v>
      </c>
      <c r="F48" s="222">
        <v>755267</v>
      </c>
      <c r="G48" s="222">
        <v>770895</v>
      </c>
      <c r="H48" s="222">
        <v>824906</v>
      </c>
      <c r="I48" s="222">
        <v>818663</v>
      </c>
      <c r="J48" s="222">
        <v>801564</v>
      </c>
      <c r="K48" s="222">
        <v>946635</v>
      </c>
      <c r="L48" s="222">
        <v>859346</v>
      </c>
      <c r="M48" s="222">
        <v>916187</v>
      </c>
      <c r="N48" s="222">
        <v>876352</v>
      </c>
      <c r="O48" s="222">
        <v>817062</v>
      </c>
      <c r="P48" s="222">
        <v>813425</v>
      </c>
      <c r="Q48" s="222">
        <v>854480</v>
      </c>
      <c r="R48" s="222">
        <v>788941</v>
      </c>
      <c r="S48" s="222">
        <v>830719</v>
      </c>
      <c r="T48" s="222">
        <v>817479</v>
      </c>
      <c r="U48" s="222">
        <v>1009039</v>
      </c>
      <c r="V48" s="222">
        <v>820745</v>
      </c>
      <c r="W48" s="222">
        <v>857572</v>
      </c>
      <c r="X48" s="222">
        <v>1107337</v>
      </c>
      <c r="Y48" s="222">
        <v>830619</v>
      </c>
      <c r="Z48" s="222">
        <v>829037</v>
      </c>
      <c r="AA48" s="222">
        <v>830903</v>
      </c>
      <c r="AB48" s="222">
        <v>314901</v>
      </c>
      <c r="AC48" s="222">
        <v>1208992</v>
      </c>
      <c r="AD48" s="222">
        <v>863805</v>
      </c>
      <c r="AE48" s="222">
        <v>836414</v>
      </c>
      <c r="AF48" s="222">
        <v>824569</v>
      </c>
      <c r="AG48" s="222">
        <v>850644</v>
      </c>
      <c r="AH48" s="222">
        <v>751008</v>
      </c>
      <c r="AI48" s="222">
        <v>840398</v>
      </c>
      <c r="AJ48" s="222">
        <v>897371</v>
      </c>
    </row>
    <row r="49" spans="1:36" ht="17.25">
      <c r="A49" s="223" t="s">
        <v>1429</v>
      </c>
      <c r="B49" s="220" t="s">
        <v>1417</v>
      </c>
      <c r="C49" s="218">
        <f t="shared" si="3"/>
        <v>27310134</v>
      </c>
      <c r="D49" s="221">
        <f t="shared" si="4"/>
        <v>18.161763013391337</v>
      </c>
      <c r="E49" s="222">
        <v>763782</v>
      </c>
      <c r="F49" s="222">
        <v>772140</v>
      </c>
      <c r="G49" s="222">
        <v>858986</v>
      </c>
      <c r="H49" s="222">
        <v>813439</v>
      </c>
      <c r="I49" s="222">
        <v>847520</v>
      </c>
      <c r="J49" s="222">
        <v>824102</v>
      </c>
      <c r="K49" s="222">
        <v>880210</v>
      </c>
      <c r="L49" s="222">
        <v>894456</v>
      </c>
      <c r="M49" s="222">
        <v>830563</v>
      </c>
      <c r="N49" s="222">
        <v>988200</v>
      </c>
      <c r="O49" s="222">
        <v>811443</v>
      </c>
      <c r="P49" s="222">
        <v>811313</v>
      </c>
      <c r="Q49" s="222">
        <v>857535</v>
      </c>
      <c r="R49" s="222">
        <v>782638</v>
      </c>
      <c r="S49" s="222">
        <v>842509</v>
      </c>
      <c r="T49" s="222">
        <v>814515</v>
      </c>
      <c r="U49" s="222">
        <v>932947</v>
      </c>
      <c r="V49" s="222">
        <v>828521</v>
      </c>
      <c r="W49" s="222">
        <v>867493</v>
      </c>
      <c r="X49" s="222">
        <v>998419</v>
      </c>
      <c r="Y49" s="222">
        <v>838683</v>
      </c>
      <c r="Z49" s="222">
        <v>850680</v>
      </c>
      <c r="AA49" s="222">
        <v>834140</v>
      </c>
      <c r="AB49" s="222">
        <v>347052</v>
      </c>
      <c r="AC49" s="222">
        <v>1108895</v>
      </c>
      <c r="AD49" s="222">
        <v>876307</v>
      </c>
      <c r="AE49" s="222">
        <v>851829</v>
      </c>
      <c r="AF49" s="222">
        <v>814713</v>
      </c>
      <c r="AG49" s="222">
        <v>1225444</v>
      </c>
      <c r="AH49" s="222">
        <v>768424</v>
      </c>
      <c r="AI49" s="222">
        <v>855357</v>
      </c>
      <c r="AJ49" s="222">
        <v>917879</v>
      </c>
    </row>
    <row r="50" spans="1:36" ht="17.25">
      <c r="A50" s="223" t="s">
        <v>1430</v>
      </c>
      <c r="B50" s="220" t="s">
        <v>1431</v>
      </c>
      <c r="C50" s="218">
        <f t="shared" si="3"/>
        <v>27685720</v>
      </c>
      <c r="D50" s="221">
        <f t="shared" si="4"/>
        <v>18.550898742013789</v>
      </c>
      <c r="E50" s="222">
        <v>809411</v>
      </c>
      <c r="F50" s="222">
        <v>759916</v>
      </c>
      <c r="G50" s="222">
        <v>781426</v>
      </c>
      <c r="H50" s="222">
        <v>851144</v>
      </c>
      <c r="I50" s="222">
        <v>848596</v>
      </c>
      <c r="J50" s="222">
        <v>815118</v>
      </c>
      <c r="K50" s="222">
        <v>928804</v>
      </c>
      <c r="L50" s="222">
        <v>894858</v>
      </c>
      <c r="M50" s="222">
        <v>914475</v>
      </c>
      <c r="N50" s="222">
        <v>889004</v>
      </c>
      <c r="O50" s="222">
        <v>847902</v>
      </c>
      <c r="P50" s="222">
        <v>851839</v>
      </c>
      <c r="Q50" s="222">
        <v>886187</v>
      </c>
      <c r="R50" s="222">
        <v>818763</v>
      </c>
      <c r="S50" s="222">
        <v>862354</v>
      </c>
      <c r="T50" s="222">
        <v>853726</v>
      </c>
      <c r="U50" s="222">
        <v>1013905</v>
      </c>
      <c r="V50" s="222">
        <v>854195</v>
      </c>
      <c r="W50" s="222">
        <v>892106</v>
      </c>
      <c r="X50" s="222">
        <v>1102619</v>
      </c>
      <c r="Y50" s="222">
        <v>864143</v>
      </c>
      <c r="Z50" s="222">
        <v>865460</v>
      </c>
      <c r="AA50" s="222">
        <v>860745</v>
      </c>
      <c r="AB50" s="222">
        <v>312511</v>
      </c>
      <c r="AC50" s="222">
        <v>1213495</v>
      </c>
      <c r="AD50" s="222">
        <v>900293</v>
      </c>
      <c r="AE50" s="222">
        <v>871994</v>
      </c>
      <c r="AF50" s="222">
        <v>861187</v>
      </c>
      <c r="AG50" s="222">
        <v>881410</v>
      </c>
      <c r="AH50" s="222">
        <v>775183</v>
      </c>
      <c r="AI50" s="222">
        <v>871058</v>
      </c>
      <c r="AJ50" s="222">
        <v>931893</v>
      </c>
    </row>
    <row r="51" spans="1:36" ht="17.25">
      <c r="A51" s="223" t="s">
        <v>1432</v>
      </c>
      <c r="B51" s="220" t="s">
        <v>1433</v>
      </c>
      <c r="C51" s="218">
        <f t="shared" si="3"/>
        <v>27815986</v>
      </c>
      <c r="D51" s="221">
        <f t="shared" si="4"/>
        <v>18.635406672518187</v>
      </c>
      <c r="E51" s="222">
        <v>809930</v>
      </c>
      <c r="F51" s="222">
        <v>763103</v>
      </c>
      <c r="G51" s="222">
        <v>784563</v>
      </c>
      <c r="H51" s="222">
        <v>855514</v>
      </c>
      <c r="I51" s="222">
        <v>852523</v>
      </c>
      <c r="J51" s="222">
        <v>814038</v>
      </c>
      <c r="K51" s="222">
        <v>941081</v>
      </c>
      <c r="L51" s="222">
        <v>897387</v>
      </c>
      <c r="M51" s="222">
        <v>927541</v>
      </c>
      <c r="N51" s="222">
        <v>890614</v>
      </c>
      <c r="O51" s="222">
        <v>848304</v>
      </c>
      <c r="P51" s="222">
        <v>853038</v>
      </c>
      <c r="Q51" s="222">
        <v>887404</v>
      </c>
      <c r="R51" s="222">
        <v>819903</v>
      </c>
      <c r="S51" s="222">
        <v>862375</v>
      </c>
      <c r="T51" s="222">
        <v>853942</v>
      </c>
      <c r="U51" s="222">
        <v>1026822</v>
      </c>
      <c r="V51" s="222">
        <v>854649</v>
      </c>
      <c r="W51" s="222">
        <v>893001</v>
      </c>
      <c r="X51" s="222">
        <v>1115224</v>
      </c>
      <c r="Y51" s="222">
        <v>864844</v>
      </c>
      <c r="Z51" s="222">
        <v>867021</v>
      </c>
      <c r="AA51" s="222">
        <v>861968</v>
      </c>
      <c r="AB51" s="222">
        <v>322848</v>
      </c>
      <c r="AC51" s="222">
        <v>1226646</v>
      </c>
      <c r="AD51" s="222">
        <v>903044</v>
      </c>
      <c r="AE51" s="222">
        <v>873908</v>
      </c>
      <c r="AF51" s="222">
        <v>871069</v>
      </c>
      <c r="AG51" s="222">
        <v>889633</v>
      </c>
      <c r="AH51" s="222">
        <v>778897</v>
      </c>
      <c r="AI51" s="222">
        <v>871847</v>
      </c>
      <c r="AJ51" s="222">
        <v>933305</v>
      </c>
    </row>
    <row r="52" spans="1:36" ht="17.25">
      <c r="A52" s="223" t="s">
        <v>1434</v>
      </c>
      <c r="B52" s="224" t="s">
        <v>1435</v>
      </c>
      <c r="C52" s="218">
        <f t="shared" si="3"/>
        <v>27988750</v>
      </c>
      <c r="D52" s="221">
        <f t="shared" si="4"/>
        <v>18.746026420431718</v>
      </c>
      <c r="E52" s="222">
        <v>804732</v>
      </c>
      <c r="F52" s="222">
        <v>777848</v>
      </c>
      <c r="G52" s="222">
        <v>802467</v>
      </c>
      <c r="H52" s="222">
        <v>860619</v>
      </c>
      <c r="I52" s="222">
        <v>855335</v>
      </c>
      <c r="J52" s="222">
        <v>829657</v>
      </c>
      <c r="K52" s="222">
        <v>977827</v>
      </c>
      <c r="L52" s="222">
        <v>896512</v>
      </c>
      <c r="M52" s="222">
        <v>944522</v>
      </c>
      <c r="N52" s="222">
        <v>927401</v>
      </c>
      <c r="O52" s="222">
        <v>840913</v>
      </c>
      <c r="P52" s="222">
        <v>838020</v>
      </c>
      <c r="Q52" s="222">
        <v>882592</v>
      </c>
      <c r="R52" s="222">
        <v>811950</v>
      </c>
      <c r="S52" s="222">
        <v>867826</v>
      </c>
      <c r="T52" s="222">
        <v>843742</v>
      </c>
      <c r="U52" s="222">
        <v>1040107</v>
      </c>
      <c r="V52" s="222">
        <v>848498</v>
      </c>
      <c r="W52" s="222">
        <v>888874</v>
      </c>
      <c r="X52" s="222">
        <v>1147641</v>
      </c>
      <c r="Y52" s="222">
        <v>862460</v>
      </c>
      <c r="Z52" s="222">
        <v>863129</v>
      </c>
      <c r="AA52" s="222">
        <v>861075</v>
      </c>
      <c r="AB52" s="222">
        <v>314887</v>
      </c>
      <c r="AC52" s="222">
        <v>1251968</v>
      </c>
      <c r="AD52" s="222">
        <v>898074</v>
      </c>
      <c r="AE52" s="222">
        <v>876056</v>
      </c>
      <c r="AF52" s="222">
        <v>854150</v>
      </c>
      <c r="AG52" s="222">
        <v>915886</v>
      </c>
      <c r="AH52" s="222">
        <v>784506</v>
      </c>
      <c r="AI52" s="222">
        <v>880985</v>
      </c>
      <c r="AJ52" s="222">
        <v>938491</v>
      </c>
    </row>
    <row r="53" spans="1:36" ht="17.25">
      <c r="A53" s="223" t="s">
        <v>1436</v>
      </c>
      <c r="B53" s="224" t="s">
        <v>1435</v>
      </c>
      <c r="C53" s="218">
        <f t="shared" si="3"/>
        <v>27988570</v>
      </c>
      <c r="D53" s="221">
        <f t="shared" si="4"/>
        <v>18.745890304552038</v>
      </c>
      <c r="E53" s="222">
        <v>804732</v>
      </c>
      <c r="F53" s="222">
        <v>777848</v>
      </c>
      <c r="G53" s="222">
        <v>802467</v>
      </c>
      <c r="H53" s="222">
        <v>860619</v>
      </c>
      <c r="I53" s="222">
        <v>855335</v>
      </c>
      <c r="J53" s="222">
        <v>829657</v>
      </c>
      <c r="K53" s="222">
        <v>977827</v>
      </c>
      <c r="L53" s="222">
        <v>896512</v>
      </c>
      <c r="M53" s="222">
        <v>944522</v>
      </c>
      <c r="N53" s="222">
        <v>927401</v>
      </c>
      <c r="O53" s="222">
        <v>840913</v>
      </c>
      <c r="P53" s="222">
        <v>838020</v>
      </c>
      <c r="Q53" s="222">
        <v>882592</v>
      </c>
      <c r="R53" s="222">
        <v>811950</v>
      </c>
      <c r="S53" s="222">
        <v>867826</v>
      </c>
      <c r="T53" s="222">
        <v>843742</v>
      </c>
      <c r="U53" s="222">
        <v>1040107</v>
      </c>
      <c r="V53" s="222">
        <v>848498</v>
      </c>
      <c r="W53" s="222">
        <v>888874</v>
      </c>
      <c r="X53" s="222">
        <v>1147461</v>
      </c>
      <c r="Y53" s="222">
        <v>862460</v>
      </c>
      <c r="Z53" s="222">
        <v>863129</v>
      </c>
      <c r="AA53" s="222">
        <v>861075</v>
      </c>
      <c r="AB53" s="222">
        <v>314887</v>
      </c>
      <c r="AC53" s="222">
        <v>1251968</v>
      </c>
      <c r="AD53" s="222">
        <v>898074</v>
      </c>
      <c r="AE53" s="222">
        <v>876056</v>
      </c>
      <c r="AF53" s="222">
        <v>854150</v>
      </c>
      <c r="AG53" s="222">
        <v>915886</v>
      </c>
      <c r="AH53" s="222">
        <v>784506</v>
      </c>
      <c r="AI53" s="222">
        <v>880985</v>
      </c>
      <c r="AJ53" s="222">
        <v>938491</v>
      </c>
    </row>
    <row r="54" spans="1:36" ht="17.25">
      <c r="A54" s="223" t="s">
        <v>1437</v>
      </c>
      <c r="B54" s="220" t="s">
        <v>1438</v>
      </c>
      <c r="C54" s="218">
        <f t="shared" si="3"/>
        <v>28042125</v>
      </c>
      <c r="D54" s="221">
        <f t="shared" si="4"/>
        <v>18.721960708610158</v>
      </c>
      <c r="E54" s="222">
        <v>804762</v>
      </c>
      <c r="F54" s="222">
        <v>763126</v>
      </c>
      <c r="G54" s="222">
        <v>797160</v>
      </c>
      <c r="H54" s="222">
        <v>856228</v>
      </c>
      <c r="I54" s="222">
        <v>862074</v>
      </c>
      <c r="J54" s="222">
        <v>807616</v>
      </c>
      <c r="K54" s="222">
        <v>934484</v>
      </c>
      <c r="L54" s="222">
        <v>903608</v>
      </c>
      <c r="M54" s="222">
        <v>921681</v>
      </c>
      <c r="N54" s="222">
        <v>907916</v>
      </c>
      <c r="O54" s="222">
        <v>850068</v>
      </c>
      <c r="P54" s="222">
        <v>855953</v>
      </c>
      <c r="Q54" s="222">
        <v>889867</v>
      </c>
      <c r="R54" s="222">
        <v>815808</v>
      </c>
      <c r="S54" s="222">
        <v>864674</v>
      </c>
      <c r="T54" s="222">
        <v>859986</v>
      </c>
      <c r="U54" s="222">
        <v>1031088</v>
      </c>
      <c r="V54" s="222">
        <v>856354</v>
      </c>
      <c r="W54" s="222">
        <v>890129</v>
      </c>
      <c r="X54" s="222">
        <v>1105304</v>
      </c>
      <c r="Y54" s="222">
        <v>864108</v>
      </c>
      <c r="Z54" s="222">
        <v>872506</v>
      </c>
      <c r="AA54" s="222">
        <v>858183</v>
      </c>
      <c r="AB54" s="222">
        <v>338942</v>
      </c>
      <c r="AC54" s="222">
        <v>1224731</v>
      </c>
      <c r="AD54" s="222">
        <v>904168</v>
      </c>
      <c r="AE54" s="222">
        <v>874796</v>
      </c>
      <c r="AF54" s="222">
        <v>885513</v>
      </c>
      <c r="AG54" s="222">
        <v>1056930</v>
      </c>
      <c r="AH54" s="222">
        <v>779011</v>
      </c>
      <c r="AI54" s="222">
        <v>867282</v>
      </c>
      <c r="AJ54" s="222">
        <v>938069</v>
      </c>
    </row>
    <row r="55" spans="1:36" ht="17.25">
      <c r="A55" s="223" t="s">
        <v>1439</v>
      </c>
      <c r="B55" s="220" t="s">
        <v>1440</v>
      </c>
      <c r="C55" s="218">
        <f t="shared" si="3"/>
        <v>28242217</v>
      </c>
      <c r="D55" s="221">
        <f t="shared" si="4"/>
        <v>18.898708903352262</v>
      </c>
      <c r="E55" s="222">
        <v>820258</v>
      </c>
      <c r="F55" s="222">
        <v>773851</v>
      </c>
      <c r="G55" s="222">
        <v>798157</v>
      </c>
      <c r="H55" s="222">
        <v>866081</v>
      </c>
      <c r="I55" s="222">
        <v>872469</v>
      </c>
      <c r="J55" s="222">
        <v>822431</v>
      </c>
      <c r="K55" s="222">
        <v>951733</v>
      </c>
      <c r="L55" s="222">
        <v>911312</v>
      </c>
      <c r="M55" s="222">
        <v>939038</v>
      </c>
      <c r="N55" s="222">
        <v>908866</v>
      </c>
      <c r="O55" s="222">
        <v>859945</v>
      </c>
      <c r="P55" s="222">
        <v>860408</v>
      </c>
      <c r="Q55" s="222">
        <v>892834</v>
      </c>
      <c r="R55" s="222">
        <v>817556</v>
      </c>
      <c r="S55" s="222">
        <v>873851</v>
      </c>
      <c r="T55" s="222">
        <v>861372</v>
      </c>
      <c r="U55" s="222">
        <v>1036973</v>
      </c>
      <c r="V55" s="222">
        <v>867284</v>
      </c>
      <c r="W55" s="222">
        <v>906302</v>
      </c>
      <c r="X55" s="222">
        <v>1128369</v>
      </c>
      <c r="Y55" s="222">
        <v>876246</v>
      </c>
      <c r="Z55" s="222">
        <v>880206</v>
      </c>
      <c r="AA55" s="222">
        <v>875686</v>
      </c>
      <c r="AB55" s="222">
        <v>346689</v>
      </c>
      <c r="AC55" s="222">
        <v>1238742</v>
      </c>
      <c r="AD55" s="222">
        <v>913985</v>
      </c>
      <c r="AE55" s="222">
        <v>890711</v>
      </c>
      <c r="AF55" s="222">
        <v>877496</v>
      </c>
      <c r="AG55" s="222">
        <v>948227</v>
      </c>
      <c r="AH55" s="222">
        <v>792835</v>
      </c>
      <c r="AI55" s="222">
        <v>885910</v>
      </c>
      <c r="AJ55" s="222">
        <v>946394</v>
      </c>
    </row>
    <row r="56" spans="1:36" ht="17.25">
      <c r="A56" s="223" t="s">
        <v>1441</v>
      </c>
      <c r="B56" s="220" t="s">
        <v>1442</v>
      </c>
      <c r="C56" s="218">
        <f t="shared" si="3"/>
        <v>28332495</v>
      </c>
      <c r="D56" s="221">
        <f t="shared" si="4"/>
        <v>18.804222762049669</v>
      </c>
      <c r="E56" s="222">
        <v>759194</v>
      </c>
      <c r="F56" s="222">
        <v>832449</v>
      </c>
      <c r="G56" s="222">
        <v>928001</v>
      </c>
      <c r="H56" s="222">
        <v>875574</v>
      </c>
      <c r="I56" s="222">
        <v>926800</v>
      </c>
      <c r="J56" s="222">
        <v>825493</v>
      </c>
      <c r="K56" s="222">
        <v>860987</v>
      </c>
      <c r="L56" s="222">
        <v>949576</v>
      </c>
      <c r="M56" s="222">
        <v>860276</v>
      </c>
      <c r="N56" s="222">
        <v>1089935</v>
      </c>
      <c r="O56" s="222">
        <v>804484</v>
      </c>
      <c r="P56" s="222">
        <v>843070</v>
      </c>
      <c r="Q56" s="222">
        <v>839825</v>
      </c>
      <c r="R56" s="222">
        <v>749541</v>
      </c>
      <c r="S56" s="222">
        <v>847971</v>
      </c>
      <c r="T56" s="222">
        <v>854681</v>
      </c>
      <c r="U56" s="222">
        <v>975689</v>
      </c>
      <c r="V56" s="222">
        <v>873223</v>
      </c>
      <c r="W56" s="222">
        <v>920029</v>
      </c>
      <c r="X56" s="222">
        <v>986914</v>
      </c>
      <c r="Y56" s="222">
        <v>880871</v>
      </c>
      <c r="Z56" s="222">
        <v>904706</v>
      </c>
      <c r="AA56" s="222">
        <v>878112</v>
      </c>
      <c r="AB56" s="222">
        <v>369713</v>
      </c>
      <c r="AC56" s="222">
        <v>1146419</v>
      </c>
      <c r="AD56" s="222">
        <v>909446</v>
      </c>
      <c r="AE56" s="222">
        <v>844382</v>
      </c>
      <c r="AF56" s="222">
        <v>808685</v>
      </c>
      <c r="AG56" s="222">
        <v>1342769</v>
      </c>
      <c r="AH56" s="222">
        <v>797874</v>
      </c>
      <c r="AI56" s="222">
        <v>899167</v>
      </c>
      <c r="AJ56" s="222">
        <v>946639</v>
      </c>
    </row>
    <row r="57" spans="1:36" ht="17.25">
      <c r="A57" s="223" t="s">
        <v>1443</v>
      </c>
      <c r="B57" s="224" t="s">
        <v>1444</v>
      </c>
      <c r="C57" s="218">
        <f t="shared" si="3"/>
        <v>28394445</v>
      </c>
      <c r="D57" s="221">
        <f t="shared" si="4"/>
        <v>19.023884472672442</v>
      </c>
      <c r="E57" s="222">
        <v>818018</v>
      </c>
      <c r="F57" s="222">
        <v>786928</v>
      </c>
      <c r="G57" s="222">
        <v>790739</v>
      </c>
      <c r="H57" s="222">
        <v>877675</v>
      </c>
      <c r="I57" s="222">
        <v>871563</v>
      </c>
      <c r="J57" s="222">
        <v>838815</v>
      </c>
      <c r="K57" s="222">
        <v>1000160</v>
      </c>
      <c r="L57" s="222">
        <v>909752</v>
      </c>
      <c r="M57" s="222">
        <v>970945</v>
      </c>
      <c r="N57" s="222">
        <v>938344</v>
      </c>
      <c r="O57" s="222">
        <v>850145</v>
      </c>
      <c r="P57" s="222">
        <v>855102</v>
      </c>
      <c r="Q57" s="222">
        <v>897101</v>
      </c>
      <c r="R57" s="222">
        <v>801531</v>
      </c>
      <c r="S57" s="222">
        <v>883323</v>
      </c>
      <c r="T57" s="222">
        <v>853547</v>
      </c>
      <c r="U57" s="222">
        <v>1069196</v>
      </c>
      <c r="V57" s="222">
        <v>862201</v>
      </c>
      <c r="W57" s="222">
        <v>905748</v>
      </c>
      <c r="X57" s="222">
        <v>1183129</v>
      </c>
      <c r="Y57" s="222">
        <v>870546</v>
      </c>
      <c r="Z57" s="222">
        <v>876623</v>
      </c>
      <c r="AA57" s="222">
        <v>871427</v>
      </c>
      <c r="AB57" s="222">
        <v>320800</v>
      </c>
      <c r="AC57" s="222">
        <v>1287993</v>
      </c>
      <c r="AD57" s="222">
        <v>910202</v>
      </c>
      <c r="AE57" s="222">
        <v>880722</v>
      </c>
      <c r="AF57" s="222">
        <v>854367</v>
      </c>
      <c r="AG57" s="222">
        <v>918930</v>
      </c>
      <c r="AH57" s="222">
        <v>788128</v>
      </c>
      <c r="AI57" s="222">
        <v>893285</v>
      </c>
      <c r="AJ57" s="222">
        <v>957460</v>
      </c>
    </row>
    <row r="58" spans="1:36" ht="17.25">
      <c r="A58" s="236" t="s">
        <v>1445</v>
      </c>
      <c r="B58" s="237" t="s">
        <v>1446</v>
      </c>
      <c r="C58" s="238">
        <f t="shared" si="3"/>
        <v>28575726</v>
      </c>
      <c r="D58" s="239">
        <f t="shared" si="4"/>
        <v>19.017751523106586</v>
      </c>
      <c r="E58" s="240">
        <v>812388</v>
      </c>
      <c r="F58" s="240">
        <v>778288</v>
      </c>
      <c r="G58" s="240">
        <v>784608</v>
      </c>
      <c r="H58" s="240">
        <v>852470</v>
      </c>
      <c r="I58" s="240">
        <v>862559</v>
      </c>
      <c r="J58" s="240">
        <v>846138</v>
      </c>
      <c r="K58" s="240">
        <v>974189</v>
      </c>
      <c r="L58" s="240">
        <v>921780</v>
      </c>
      <c r="M58" s="240">
        <v>948932</v>
      </c>
      <c r="N58" s="240">
        <v>918304</v>
      </c>
      <c r="O58" s="240">
        <v>836253</v>
      </c>
      <c r="P58" s="240">
        <v>878682</v>
      </c>
      <c r="Q58" s="240">
        <v>918722</v>
      </c>
      <c r="R58" s="240">
        <v>833302</v>
      </c>
      <c r="S58" s="240">
        <v>890873</v>
      </c>
      <c r="T58" s="240">
        <v>854163</v>
      </c>
      <c r="U58" s="240">
        <v>1076570</v>
      </c>
      <c r="V58" s="240">
        <v>874938</v>
      </c>
      <c r="W58" s="240">
        <v>878384</v>
      </c>
      <c r="X58" s="240">
        <v>1142320</v>
      </c>
      <c r="Y58" s="240">
        <v>885762</v>
      </c>
      <c r="Z58" s="240">
        <v>888496</v>
      </c>
      <c r="AA58" s="240">
        <v>854384</v>
      </c>
      <c r="AB58" s="240">
        <v>315974</v>
      </c>
      <c r="AC58" s="240">
        <v>1252624</v>
      </c>
      <c r="AD58" s="240">
        <v>888682</v>
      </c>
      <c r="AE58" s="240">
        <v>874024</v>
      </c>
      <c r="AF58" s="240">
        <v>865610</v>
      </c>
      <c r="AG58" s="240">
        <v>1246985</v>
      </c>
      <c r="AH58" s="240">
        <v>781254</v>
      </c>
      <c r="AI58" s="240">
        <v>907234</v>
      </c>
      <c r="AJ58" s="240">
        <v>930834</v>
      </c>
    </row>
    <row r="59" spans="1:36" ht="17.25">
      <c r="A59" s="236" t="s">
        <v>1447</v>
      </c>
      <c r="B59" s="237" t="s">
        <v>1448</v>
      </c>
      <c r="C59" s="238">
        <f t="shared" si="3"/>
        <v>28677962</v>
      </c>
      <c r="D59" s="239">
        <f t="shared" si="4"/>
        <v>19.124946544884136</v>
      </c>
      <c r="E59" s="240">
        <v>815253</v>
      </c>
      <c r="F59" s="240">
        <v>794052</v>
      </c>
      <c r="G59" s="240">
        <v>822464</v>
      </c>
      <c r="H59" s="240">
        <v>1021935</v>
      </c>
      <c r="I59" s="240">
        <v>862415</v>
      </c>
      <c r="J59" s="240">
        <v>832089</v>
      </c>
      <c r="K59" s="240">
        <v>974086</v>
      </c>
      <c r="L59" s="240">
        <v>901774</v>
      </c>
      <c r="M59" s="240">
        <v>948769</v>
      </c>
      <c r="N59" s="240">
        <v>963723</v>
      </c>
      <c r="O59" s="240">
        <v>849768</v>
      </c>
      <c r="P59" s="240">
        <v>852352</v>
      </c>
      <c r="Q59" s="240">
        <v>888261</v>
      </c>
      <c r="R59" s="240">
        <v>814731</v>
      </c>
      <c r="S59" s="240">
        <v>867950</v>
      </c>
      <c r="T59" s="240">
        <v>854367</v>
      </c>
      <c r="U59" s="240">
        <v>1054008</v>
      </c>
      <c r="V59" s="240">
        <v>856172</v>
      </c>
      <c r="W59" s="240">
        <v>891080</v>
      </c>
      <c r="X59" s="240">
        <v>1146186</v>
      </c>
      <c r="Y59" s="240">
        <v>862177</v>
      </c>
      <c r="Z59" s="240">
        <v>869095</v>
      </c>
      <c r="AA59" s="240">
        <v>856403</v>
      </c>
      <c r="AB59" s="240">
        <v>384548</v>
      </c>
      <c r="AC59" s="240">
        <v>1253341</v>
      </c>
      <c r="AD59" s="240">
        <v>897697</v>
      </c>
      <c r="AE59" s="240">
        <v>873856</v>
      </c>
      <c r="AF59" s="240">
        <v>841206</v>
      </c>
      <c r="AG59" s="240">
        <v>1250682</v>
      </c>
      <c r="AH59" s="240">
        <v>768184</v>
      </c>
      <c r="AI59" s="240">
        <v>878779</v>
      </c>
      <c r="AJ59" s="240">
        <v>930559</v>
      </c>
    </row>
    <row r="60" spans="1:36" ht="17.25">
      <c r="A60" s="236" t="s">
        <v>1449</v>
      </c>
      <c r="B60" s="241" t="s">
        <v>1450</v>
      </c>
      <c r="C60" s="238">
        <f t="shared" si="3"/>
        <v>28737632</v>
      </c>
      <c r="D60" s="239">
        <f t="shared" si="4"/>
        <v>19.241155201729661</v>
      </c>
      <c r="E60" s="240">
        <v>832800</v>
      </c>
      <c r="F60" s="240">
        <v>786688</v>
      </c>
      <c r="G60" s="240">
        <v>818864</v>
      </c>
      <c r="H60" s="240">
        <v>884144</v>
      </c>
      <c r="I60" s="240">
        <v>886112</v>
      </c>
      <c r="J60" s="240">
        <v>848016</v>
      </c>
      <c r="K60" s="240">
        <v>952048</v>
      </c>
      <c r="L60" s="240">
        <v>932368</v>
      </c>
      <c r="M60" s="240">
        <v>932960</v>
      </c>
      <c r="N60" s="240">
        <v>935344</v>
      </c>
      <c r="O60" s="240">
        <v>882160</v>
      </c>
      <c r="P60" s="240">
        <v>880224</v>
      </c>
      <c r="Q60" s="240">
        <v>920272</v>
      </c>
      <c r="R60" s="240">
        <v>849952</v>
      </c>
      <c r="S60" s="240">
        <v>898640</v>
      </c>
      <c r="T60" s="240">
        <v>879376</v>
      </c>
      <c r="U60" s="240">
        <v>1049264</v>
      </c>
      <c r="V60" s="240">
        <v>889680</v>
      </c>
      <c r="W60" s="240">
        <v>928208</v>
      </c>
      <c r="X60" s="240">
        <v>1132992</v>
      </c>
      <c r="Y60" s="240">
        <v>896336</v>
      </c>
      <c r="Z60" s="240">
        <v>904864</v>
      </c>
      <c r="AA60" s="240">
        <v>897536</v>
      </c>
      <c r="AB60" s="240">
        <v>320032</v>
      </c>
      <c r="AC60" s="240">
        <v>1247904</v>
      </c>
      <c r="AD60" s="240">
        <v>932128</v>
      </c>
      <c r="AE60" s="240">
        <v>892128</v>
      </c>
      <c r="AF60" s="240">
        <v>888096</v>
      </c>
      <c r="AG60" s="240">
        <v>950288</v>
      </c>
      <c r="AH60" s="240">
        <v>807264</v>
      </c>
      <c r="AI60" s="240">
        <v>909264</v>
      </c>
      <c r="AJ60" s="240">
        <v>971680</v>
      </c>
    </row>
    <row r="61" spans="1:36" ht="17.25">
      <c r="A61" s="236" t="s">
        <v>1451</v>
      </c>
      <c r="B61" s="241" t="s">
        <v>1452</v>
      </c>
      <c r="C61" s="238">
        <f t="shared" si="3"/>
        <v>28786790</v>
      </c>
      <c r="D61" s="239">
        <f t="shared" si="4"/>
        <v>19.313096604348548</v>
      </c>
      <c r="E61" s="240">
        <v>824341</v>
      </c>
      <c r="F61" s="240">
        <v>822840</v>
      </c>
      <c r="G61" s="240">
        <v>895317</v>
      </c>
      <c r="H61" s="240">
        <v>867030</v>
      </c>
      <c r="I61" s="240">
        <v>865096</v>
      </c>
      <c r="J61" s="240">
        <v>848878</v>
      </c>
      <c r="K61" s="240">
        <v>986778</v>
      </c>
      <c r="L61" s="240">
        <v>922060</v>
      </c>
      <c r="M61" s="240">
        <v>955979</v>
      </c>
      <c r="N61" s="240">
        <v>1051891</v>
      </c>
      <c r="O61" s="240">
        <v>862571</v>
      </c>
      <c r="P61" s="240">
        <v>865340</v>
      </c>
      <c r="Q61" s="240">
        <v>906050</v>
      </c>
      <c r="R61" s="240">
        <v>828413</v>
      </c>
      <c r="S61" s="240">
        <v>880609</v>
      </c>
      <c r="T61" s="240">
        <v>857136</v>
      </c>
      <c r="U61" s="240">
        <v>1073029</v>
      </c>
      <c r="V61" s="240">
        <v>878292</v>
      </c>
      <c r="W61" s="240">
        <v>907707</v>
      </c>
      <c r="X61" s="240">
        <v>1146251</v>
      </c>
      <c r="Y61" s="240">
        <v>876151</v>
      </c>
      <c r="Z61" s="240">
        <v>891966</v>
      </c>
      <c r="AA61" s="240">
        <v>862862</v>
      </c>
      <c r="AB61" s="240">
        <v>443692</v>
      </c>
      <c r="AC61" s="240">
        <v>1269950</v>
      </c>
      <c r="AD61" s="240">
        <v>904993</v>
      </c>
      <c r="AE61" s="240">
        <v>890604</v>
      </c>
      <c r="AF61" s="240">
        <v>845367</v>
      </c>
      <c r="AG61" s="240">
        <v>935580</v>
      </c>
      <c r="AH61" s="240">
        <v>778874</v>
      </c>
      <c r="AI61" s="240">
        <v>886901</v>
      </c>
      <c r="AJ61" s="240">
        <v>954242</v>
      </c>
    </row>
    <row r="62" spans="1:36" ht="17.25">
      <c r="A62" s="236" t="s">
        <v>1453</v>
      </c>
      <c r="B62" s="237" t="s">
        <v>1454</v>
      </c>
      <c r="C62" s="238">
        <f t="shared" si="3"/>
        <v>28895695</v>
      </c>
      <c r="D62" s="239">
        <f t="shared" si="4"/>
        <v>19.347276446205019</v>
      </c>
      <c r="E62" s="240">
        <v>828009</v>
      </c>
      <c r="F62" s="240">
        <v>826439</v>
      </c>
      <c r="G62" s="240">
        <v>896579</v>
      </c>
      <c r="H62" s="240">
        <v>873011</v>
      </c>
      <c r="I62" s="240">
        <v>897101</v>
      </c>
      <c r="J62" s="240">
        <v>851255</v>
      </c>
      <c r="K62" s="240">
        <v>1000000</v>
      </c>
      <c r="L62" s="240">
        <v>925751</v>
      </c>
      <c r="M62" s="240">
        <v>959224</v>
      </c>
      <c r="N62" s="240">
        <v>942173</v>
      </c>
      <c r="O62" s="240">
        <v>866317</v>
      </c>
      <c r="P62" s="240">
        <v>869490</v>
      </c>
      <c r="Q62" s="240">
        <v>909913</v>
      </c>
      <c r="R62" s="240">
        <v>831840</v>
      </c>
      <c r="S62" s="240">
        <v>884632</v>
      </c>
      <c r="T62" s="240">
        <v>875816</v>
      </c>
      <c r="U62" s="240">
        <v>1080498</v>
      </c>
      <c r="V62" s="240">
        <v>882005</v>
      </c>
      <c r="W62" s="240">
        <v>911690</v>
      </c>
      <c r="X62" s="240">
        <v>1154119</v>
      </c>
      <c r="Y62" s="240">
        <v>880079</v>
      </c>
      <c r="Z62" s="240">
        <v>895820</v>
      </c>
      <c r="AA62" s="240">
        <v>866453</v>
      </c>
      <c r="AB62" s="240">
        <v>445719</v>
      </c>
      <c r="AC62" s="240">
        <v>1268916</v>
      </c>
      <c r="AD62" s="240">
        <v>909126</v>
      </c>
      <c r="AE62" s="240">
        <v>894956</v>
      </c>
      <c r="AF62" s="240">
        <v>840037</v>
      </c>
      <c r="AG62" s="240">
        <v>1015710</v>
      </c>
      <c r="AH62" s="240">
        <v>782441</v>
      </c>
      <c r="AI62" s="240">
        <v>890423</v>
      </c>
      <c r="AJ62" s="240">
        <v>940153</v>
      </c>
    </row>
    <row r="63" spans="1:36" ht="17.25">
      <c r="A63" s="251" t="s">
        <v>1455</v>
      </c>
      <c r="B63" s="252" t="s">
        <v>1403</v>
      </c>
      <c r="C63" s="253">
        <f t="shared" si="3"/>
        <v>28930204</v>
      </c>
      <c r="D63" s="254">
        <f t="shared" si="4"/>
        <v>19.352840634437715</v>
      </c>
      <c r="E63" s="255">
        <v>850115</v>
      </c>
      <c r="F63" s="255">
        <v>780777</v>
      </c>
      <c r="G63" s="255">
        <v>827348</v>
      </c>
      <c r="H63" s="255">
        <v>880339</v>
      </c>
      <c r="I63" s="255">
        <v>905894</v>
      </c>
      <c r="J63" s="255">
        <v>875309</v>
      </c>
      <c r="K63" s="255">
        <v>939288</v>
      </c>
      <c r="L63" s="255">
        <v>961429</v>
      </c>
      <c r="M63" s="255">
        <v>887801</v>
      </c>
      <c r="N63" s="255">
        <v>944496</v>
      </c>
      <c r="O63" s="255">
        <v>892027</v>
      </c>
      <c r="P63" s="255">
        <v>886263</v>
      </c>
      <c r="Q63" s="255">
        <v>936386</v>
      </c>
      <c r="R63" s="255">
        <v>869243</v>
      </c>
      <c r="S63" s="255">
        <v>921682</v>
      </c>
      <c r="T63" s="255">
        <v>888501</v>
      </c>
      <c r="U63" s="255">
        <v>995656</v>
      </c>
      <c r="V63" s="255">
        <v>898135</v>
      </c>
      <c r="W63" s="255">
        <v>944011</v>
      </c>
      <c r="X63" s="255">
        <v>1083344</v>
      </c>
      <c r="Y63" s="255">
        <v>914856</v>
      </c>
      <c r="Z63" s="255">
        <v>923141</v>
      </c>
      <c r="AA63" s="255">
        <v>916006</v>
      </c>
      <c r="AB63" s="255">
        <v>323848</v>
      </c>
      <c r="AC63" s="255">
        <v>1187923</v>
      </c>
      <c r="AD63" s="255">
        <v>954630</v>
      </c>
      <c r="AE63" s="255">
        <v>911363</v>
      </c>
      <c r="AF63" s="255">
        <v>865286</v>
      </c>
      <c r="AG63" s="255">
        <v>995066</v>
      </c>
      <c r="AH63" s="255">
        <v>831176</v>
      </c>
      <c r="AI63" s="255">
        <v>934943</v>
      </c>
      <c r="AJ63" s="255">
        <v>1003922</v>
      </c>
    </row>
    <row r="64" spans="1:36" ht="17.25">
      <c r="A64" s="236" t="s">
        <v>1456</v>
      </c>
      <c r="B64" s="237" t="s">
        <v>1457</v>
      </c>
      <c r="C64" s="238">
        <f t="shared" si="3"/>
        <v>29022331</v>
      </c>
      <c r="D64" s="239">
        <f t="shared" si="4"/>
        <v>19.342546543941538</v>
      </c>
      <c r="E64" s="240">
        <v>854792</v>
      </c>
      <c r="F64" s="240">
        <v>781832</v>
      </c>
      <c r="G64" s="240">
        <v>802520</v>
      </c>
      <c r="H64" s="240">
        <v>851067</v>
      </c>
      <c r="I64" s="240">
        <v>905876</v>
      </c>
      <c r="J64" s="240">
        <v>861056</v>
      </c>
      <c r="K64" s="240">
        <v>989648</v>
      </c>
      <c r="L64" s="240">
        <v>908472</v>
      </c>
      <c r="M64" s="240">
        <v>979380</v>
      </c>
      <c r="N64" s="240">
        <v>918520</v>
      </c>
      <c r="O64" s="240">
        <v>831480</v>
      </c>
      <c r="P64" s="240">
        <v>857100</v>
      </c>
      <c r="Q64" s="240">
        <v>923908</v>
      </c>
      <c r="R64" s="240">
        <v>866512</v>
      </c>
      <c r="S64" s="240">
        <v>896864</v>
      </c>
      <c r="T64" s="240">
        <v>920668</v>
      </c>
      <c r="U64" s="240">
        <v>1076872</v>
      </c>
      <c r="V64" s="240">
        <v>861652</v>
      </c>
      <c r="W64" s="240">
        <v>877616</v>
      </c>
      <c r="X64" s="240">
        <v>1193216</v>
      </c>
      <c r="Y64" s="240">
        <v>876548</v>
      </c>
      <c r="Z64" s="240">
        <v>878996</v>
      </c>
      <c r="AA64" s="240">
        <v>909392</v>
      </c>
      <c r="AB64" s="240">
        <v>324524</v>
      </c>
      <c r="AC64" s="240">
        <v>1247988</v>
      </c>
      <c r="AD64" s="240">
        <v>937920</v>
      </c>
      <c r="AE64" s="240">
        <v>949940</v>
      </c>
      <c r="AF64" s="240">
        <v>850940</v>
      </c>
      <c r="AG64" s="240">
        <v>1266540</v>
      </c>
      <c r="AH64" s="240">
        <v>783684</v>
      </c>
      <c r="AI64" s="240">
        <v>869948</v>
      </c>
      <c r="AJ64" s="240">
        <v>966860</v>
      </c>
    </row>
    <row r="65" spans="1:36" ht="17.25">
      <c r="A65" s="236" t="s">
        <v>1385</v>
      </c>
      <c r="B65" s="237" t="s">
        <v>1458</v>
      </c>
      <c r="C65" s="238">
        <f>SUM(E65:AL65)</f>
        <v>29036300</v>
      </c>
      <c r="D65" s="239">
        <f t="shared" si="4"/>
        <v>19.354177322308107</v>
      </c>
      <c r="E65" s="240">
        <v>829469</v>
      </c>
      <c r="F65" s="240">
        <v>820629</v>
      </c>
      <c r="G65" s="240">
        <v>876388</v>
      </c>
      <c r="H65" s="240">
        <v>913076</v>
      </c>
      <c r="I65" s="240">
        <v>956554</v>
      </c>
      <c r="J65" s="240">
        <v>839894</v>
      </c>
      <c r="K65" s="240">
        <v>941189</v>
      </c>
      <c r="L65" s="240">
        <v>887295</v>
      </c>
      <c r="M65" s="240">
        <v>975421</v>
      </c>
      <c r="N65" s="240">
        <v>999899</v>
      </c>
      <c r="O65" s="240">
        <v>892087</v>
      </c>
      <c r="P65" s="240">
        <v>839113</v>
      </c>
      <c r="Q65" s="240">
        <v>910892</v>
      </c>
      <c r="R65" s="240">
        <v>792786</v>
      </c>
      <c r="S65" s="240">
        <v>898288</v>
      </c>
      <c r="T65" s="240">
        <v>863914</v>
      </c>
      <c r="U65" s="240">
        <v>1044029</v>
      </c>
      <c r="V65" s="240">
        <v>845928</v>
      </c>
      <c r="W65" s="240">
        <v>939411</v>
      </c>
      <c r="X65" s="240">
        <v>1194949</v>
      </c>
      <c r="Y65" s="240">
        <v>922872</v>
      </c>
      <c r="Z65" s="240">
        <v>862443</v>
      </c>
      <c r="AA65" s="240">
        <v>866009</v>
      </c>
      <c r="AB65" s="240">
        <v>345036</v>
      </c>
      <c r="AC65" s="240">
        <v>1269790</v>
      </c>
      <c r="AD65" s="240">
        <v>943459</v>
      </c>
      <c r="AE65" s="240">
        <v>879177</v>
      </c>
      <c r="AF65" s="240">
        <v>924564</v>
      </c>
      <c r="AG65" s="240">
        <v>1044421</v>
      </c>
      <c r="AH65" s="240">
        <v>865632</v>
      </c>
      <c r="AI65" s="240">
        <v>898741</v>
      </c>
      <c r="AJ65" s="240">
        <v>952945</v>
      </c>
    </row>
    <row r="66" spans="1:36" ht="17.25">
      <c r="A66" s="236" t="s">
        <v>1385</v>
      </c>
      <c r="B66" s="237" t="s">
        <v>1459</v>
      </c>
      <c r="C66" s="238">
        <f>SUM(E66:AL66)</f>
        <v>29096223</v>
      </c>
      <c r="D66" s="239">
        <f t="shared" si="4"/>
        <v>19.41707156225435</v>
      </c>
      <c r="E66" s="240">
        <v>852754</v>
      </c>
      <c r="F66" s="240">
        <v>808744</v>
      </c>
      <c r="G66" s="240">
        <v>870180</v>
      </c>
      <c r="H66" s="240">
        <v>913152</v>
      </c>
      <c r="I66" s="240">
        <v>941923</v>
      </c>
      <c r="J66" s="240">
        <v>855182</v>
      </c>
      <c r="K66" s="240">
        <v>997945</v>
      </c>
      <c r="L66" s="240">
        <v>911760</v>
      </c>
      <c r="M66" s="240">
        <v>950656</v>
      </c>
      <c r="N66" s="240">
        <v>988789</v>
      </c>
      <c r="O66" s="240">
        <v>881243</v>
      </c>
      <c r="P66" s="240">
        <v>844543</v>
      </c>
      <c r="Q66" s="240">
        <v>910633</v>
      </c>
      <c r="R66" s="240">
        <v>788445</v>
      </c>
      <c r="S66" s="240">
        <v>913459</v>
      </c>
      <c r="T66" s="240">
        <v>864014</v>
      </c>
      <c r="U66" s="240">
        <v>1054723</v>
      </c>
      <c r="V66" s="240">
        <v>904228</v>
      </c>
      <c r="W66" s="240">
        <v>939523</v>
      </c>
      <c r="X66" s="240">
        <v>1077270</v>
      </c>
      <c r="Y66" s="240">
        <v>892824</v>
      </c>
      <c r="Z66" s="240">
        <v>890235</v>
      </c>
      <c r="AA66" s="240">
        <v>907215</v>
      </c>
      <c r="AB66" s="240">
        <v>339572</v>
      </c>
      <c r="AC66" s="240">
        <v>1238983</v>
      </c>
      <c r="AD66" s="240">
        <v>970591</v>
      </c>
      <c r="AE66" s="240">
        <v>883054</v>
      </c>
      <c r="AF66" s="240">
        <v>911353</v>
      </c>
      <c r="AG66" s="240">
        <v>1036366</v>
      </c>
      <c r="AH66" s="240">
        <v>853685</v>
      </c>
      <c r="AI66" s="240">
        <v>920739</v>
      </c>
      <c r="AJ66" s="240">
        <v>982440</v>
      </c>
    </row>
    <row r="67" spans="1:36" ht="17.25">
      <c r="A67" s="236" t="s">
        <v>1460</v>
      </c>
      <c r="B67" s="241" t="s">
        <v>1461</v>
      </c>
      <c r="C67" s="238">
        <f>SUM(E67:AL67)</f>
        <v>29204642</v>
      </c>
      <c r="D67" s="239">
        <f t="shared" si="4"/>
        <v>19.568664293920936</v>
      </c>
      <c r="E67" s="240">
        <v>852302</v>
      </c>
      <c r="F67" s="240">
        <v>799618</v>
      </c>
      <c r="G67" s="240">
        <v>821668</v>
      </c>
      <c r="H67" s="240">
        <v>898111</v>
      </c>
      <c r="I67" s="240">
        <v>894150</v>
      </c>
      <c r="J67" s="240">
        <v>858635</v>
      </c>
      <c r="K67" s="240">
        <v>990220</v>
      </c>
      <c r="L67" s="240">
        <v>944102</v>
      </c>
      <c r="M67" s="240">
        <v>974405</v>
      </c>
      <c r="N67" s="240">
        <v>934006</v>
      </c>
      <c r="O67" s="240">
        <v>892132</v>
      </c>
      <c r="P67" s="240">
        <v>898580</v>
      </c>
      <c r="Q67" s="240">
        <v>934683</v>
      </c>
      <c r="R67" s="240">
        <v>853171</v>
      </c>
      <c r="S67" s="240">
        <v>908635</v>
      </c>
      <c r="T67" s="240">
        <v>896163</v>
      </c>
      <c r="U67" s="240">
        <v>1078447</v>
      </c>
      <c r="V67" s="240">
        <v>899942</v>
      </c>
      <c r="W67" s="240">
        <v>937517</v>
      </c>
      <c r="X67" s="240">
        <v>1176449</v>
      </c>
      <c r="Y67" s="240">
        <v>912159</v>
      </c>
      <c r="Z67" s="240">
        <v>911170</v>
      </c>
      <c r="AA67" s="240">
        <v>908911</v>
      </c>
      <c r="AB67" s="240">
        <v>328966</v>
      </c>
      <c r="AC67" s="240">
        <v>1302009</v>
      </c>
      <c r="AD67" s="240">
        <v>943631</v>
      </c>
      <c r="AE67" s="240">
        <v>916277</v>
      </c>
      <c r="AF67" s="240">
        <v>897437</v>
      </c>
      <c r="AG67" s="240">
        <v>929268</v>
      </c>
      <c r="AH67" s="240">
        <v>813710</v>
      </c>
      <c r="AI67" s="240">
        <v>919150</v>
      </c>
      <c r="AJ67" s="240">
        <v>979018</v>
      </c>
    </row>
    <row r="68" spans="1:36" ht="17.25">
      <c r="A68" s="236" t="s">
        <v>1462</v>
      </c>
      <c r="B68" s="241" t="s">
        <v>1463</v>
      </c>
      <c r="C68" s="238">
        <f>SUM(E68:AL68)</f>
        <v>29251410</v>
      </c>
      <c r="D68" s="239">
        <f t="shared" si="4"/>
        <v>19.546944288578402</v>
      </c>
      <c r="E68" s="240">
        <v>855633</v>
      </c>
      <c r="F68" s="240">
        <v>798595</v>
      </c>
      <c r="G68" s="240">
        <v>860620</v>
      </c>
      <c r="H68" s="240">
        <v>868831</v>
      </c>
      <c r="I68" s="240">
        <v>918168</v>
      </c>
      <c r="J68" s="240">
        <v>881798</v>
      </c>
      <c r="K68" s="240">
        <v>954953</v>
      </c>
      <c r="L68" s="240">
        <v>963731</v>
      </c>
      <c r="M68" s="240">
        <v>903771</v>
      </c>
      <c r="N68" s="240">
        <v>973360</v>
      </c>
      <c r="O68" s="240">
        <v>896889</v>
      </c>
      <c r="P68" s="240">
        <v>889456</v>
      </c>
      <c r="Q68" s="240">
        <v>940322</v>
      </c>
      <c r="R68" s="240">
        <v>873588</v>
      </c>
      <c r="S68" s="240">
        <v>927064</v>
      </c>
      <c r="T68" s="240">
        <v>889982</v>
      </c>
      <c r="U68" s="240">
        <v>1004734</v>
      </c>
      <c r="V68" s="240">
        <v>903777</v>
      </c>
      <c r="W68" s="240">
        <v>948226</v>
      </c>
      <c r="X68" s="240">
        <v>1092267</v>
      </c>
      <c r="Y68" s="240">
        <v>913374</v>
      </c>
      <c r="Z68" s="240">
        <v>924898</v>
      </c>
      <c r="AA68" s="240">
        <v>922780</v>
      </c>
      <c r="AB68" s="240">
        <v>337356</v>
      </c>
      <c r="AC68" s="240">
        <v>1192570</v>
      </c>
      <c r="AD68" s="240">
        <v>960387</v>
      </c>
      <c r="AE68" s="240">
        <v>912952</v>
      </c>
      <c r="AF68" s="240">
        <v>910435</v>
      </c>
      <c r="AG68" s="240">
        <v>1034007</v>
      </c>
      <c r="AH68" s="240">
        <v>846802</v>
      </c>
      <c r="AI68" s="240">
        <v>943180</v>
      </c>
      <c r="AJ68" s="240">
        <v>1006904</v>
      </c>
    </row>
    <row r="69" spans="1:36" ht="17.25">
      <c r="A69" s="236" t="s">
        <v>1464</v>
      </c>
      <c r="B69" s="241" t="s">
        <v>1465</v>
      </c>
      <c r="C69" s="238">
        <f>SUM(E69:AL69)</f>
        <v>29452203</v>
      </c>
      <c r="D69" s="239">
        <f t="shared" si="4"/>
        <v>19.419999592637105</v>
      </c>
      <c r="E69" s="240">
        <v>786035</v>
      </c>
      <c r="F69" s="240">
        <v>875710</v>
      </c>
      <c r="G69" s="240">
        <v>1127165</v>
      </c>
      <c r="H69" s="240">
        <v>844893</v>
      </c>
      <c r="I69" s="240">
        <v>848277</v>
      </c>
      <c r="J69" s="240">
        <v>812072</v>
      </c>
      <c r="K69" s="240">
        <v>954502</v>
      </c>
      <c r="L69" s="240">
        <v>880087</v>
      </c>
      <c r="M69" s="240">
        <v>934554</v>
      </c>
      <c r="N69" s="240">
        <v>916004</v>
      </c>
      <c r="O69" s="240">
        <v>816800</v>
      </c>
      <c r="P69" s="240">
        <v>823055</v>
      </c>
      <c r="Q69" s="240">
        <v>854384</v>
      </c>
      <c r="R69" s="240">
        <v>780315</v>
      </c>
      <c r="S69" s="240">
        <v>840360</v>
      </c>
      <c r="T69" s="240">
        <v>818729</v>
      </c>
      <c r="U69" s="240">
        <v>1036359</v>
      </c>
      <c r="V69" s="240">
        <v>820353</v>
      </c>
      <c r="W69" s="240">
        <v>859798</v>
      </c>
      <c r="X69" s="240">
        <v>1122748</v>
      </c>
      <c r="Y69" s="240">
        <v>839672</v>
      </c>
      <c r="Z69" s="240">
        <v>846152</v>
      </c>
      <c r="AA69" s="240">
        <v>840020</v>
      </c>
      <c r="AB69" s="240">
        <v>318144</v>
      </c>
      <c r="AC69" s="240">
        <v>1257861</v>
      </c>
      <c r="AD69" s="240">
        <v>883003</v>
      </c>
      <c r="AE69" s="240">
        <v>862533</v>
      </c>
      <c r="AF69" s="240">
        <v>1873617</v>
      </c>
      <c r="AG69" s="240">
        <v>1427234</v>
      </c>
      <c r="AH69" s="240">
        <v>772093</v>
      </c>
      <c r="AI69" s="240">
        <v>857276</v>
      </c>
      <c r="AJ69" s="240">
        <v>922398</v>
      </c>
    </row>
    <row r="70" spans="1:36" ht="17.25">
      <c r="A70" s="236" t="s">
        <v>1466</v>
      </c>
      <c r="B70" s="237" t="s">
        <v>1444</v>
      </c>
      <c r="C70" s="238">
        <f t="shared" ref="C70:C83" si="5">SUM(E70:AL70)</f>
        <v>29671833</v>
      </c>
      <c r="D70" s="239">
        <f t="shared" si="4"/>
        <v>19.900935898904887</v>
      </c>
      <c r="E70" s="240">
        <v>849553</v>
      </c>
      <c r="F70" s="240">
        <v>805333</v>
      </c>
      <c r="G70" s="240">
        <v>849909</v>
      </c>
      <c r="H70" s="240">
        <v>1063970</v>
      </c>
      <c r="I70" s="240">
        <v>892090</v>
      </c>
      <c r="J70" s="240">
        <v>865598</v>
      </c>
      <c r="K70" s="240">
        <v>1022495</v>
      </c>
      <c r="L70" s="240">
        <v>950978</v>
      </c>
      <c r="M70" s="240">
        <v>1003584</v>
      </c>
      <c r="N70" s="240">
        <v>980198</v>
      </c>
      <c r="O70" s="240">
        <v>886913</v>
      </c>
      <c r="P70" s="240">
        <v>885253</v>
      </c>
      <c r="Q70" s="240">
        <v>927300</v>
      </c>
      <c r="R70" s="240">
        <v>823623</v>
      </c>
      <c r="S70" s="240">
        <v>922947</v>
      </c>
      <c r="T70" s="240">
        <v>895711</v>
      </c>
      <c r="U70" s="240">
        <v>1109540</v>
      </c>
      <c r="V70" s="240">
        <v>908612</v>
      </c>
      <c r="W70" s="240">
        <v>945318</v>
      </c>
      <c r="X70" s="240">
        <v>1205591</v>
      </c>
      <c r="Y70" s="240">
        <v>916649</v>
      </c>
      <c r="Z70" s="240">
        <v>924792</v>
      </c>
      <c r="AA70" s="240">
        <v>914405</v>
      </c>
      <c r="AB70" s="240">
        <v>335682</v>
      </c>
      <c r="AC70" s="240">
        <v>1312302</v>
      </c>
      <c r="AD70" s="240">
        <v>958870</v>
      </c>
      <c r="AE70" s="240">
        <v>913401</v>
      </c>
      <c r="AF70" s="240">
        <v>895805</v>
      </c>
      <c r="AG70" s="240">
        <v>960441</v>
      </c>
      <c r="AH70" s="240">
        <v>818875</v>
      </c>
      <c r="AI70" s="240">
        <v>928969</v>
      </c>
      <c r="AJ70" s="240">
        <v>997126</v>
      </c>
    </row>
    <row r="71" spans="1:36" ht="17.25">
      <c r="A71" s="236" t="s">
        <v>1467</v>
      </c>
      <c r="B71" s="241" t="s">
        <v>1468</v>
      </c>
      <c r="C71" s="238">
        <f t="shared" si="5"/>
        <v>30934482</v>
      </c>
      <c r="D71" s="239">
        <f t="shared" si="4"/>
        <v>20.629680613022021</v>
      </c>
      <c r="E71" s="240">
        <v>821973</v>
      </c>
      <c r="F71" s="240">
        <v>1207977</v>
      </c>
      <c r="G71" s="240">
        <v>1746344</v>
      </c>
      <c r="H71" s="240">
        <v>867726</v>
      </c>
      <c r="I71" s="240">
        <v>872659</v>
      </c>
      <c r="J71" s="240">
        <v>828329</v>
      </c>
      <c r="K71" s="240">
        <v>957442</v>
      </c>
      <c r="L71" s="240">
        <v>912207</v>
      </c>
      <c r="M71" s="240">
        <v>939233</v>
      </c>
      <c r="N71" s="240">
        <v>1496607</v>
      </c>
      <c r="O71" s="240">
        <v>861007</v>
      </c>
      <c r="P71" s="240">
        <v>864655</v>
      </c>
      <c r="Q71" s="240">
        <v>900861</v>
      </c>
      <c r="R71" s="240">
        <v>838870</v>
      </c>
      <c r="S71" s="240">
        <v>875302</v>
      </c>
      <c r="T71" s="240">
        <v>865541</v>
      </c>
      <c r="U71" s="240">
        <v>1040701</v>
      </c>
      <c r="V71" s="240">
        <v>868487</v>
      </c>
      <c r="W71" s="240">
        <v>906970</v>
      </c>
      <c r="X71" s="240">
        <v>1129183</v>
      </c>
      <c r="Y71" s="240">
        <v>877606</v>
      </c>
      <c r="Z71" s="240">
        <v>881362</v>
      </c>
      <c r="AA71" s="240">
        <v>875492</v>
      </c>
      <c r="AB71" s="240">
        <v>511318</v>
      </c>
      <c r="AC71" s="240">
        <v>1240439</v>
      </c>
      <c r="AD71" s="240">
        <v>920109</v>
      </c>
      <c r="AE71" s="240">
        <v>885503</v>
      </c>
      <c r="AF71" s="240">
        <v>870470</v>
      </c>
      <c r="AG71" s="240">
        <v>1443115</v>
      </c>
      <c r="AH71" s="240">
        <v>793646</v>
      </c>
      <c r="AI71" s="240">
        <v>885414</v>
      </c>
      <c r="AJ71" s="240">
        <v>947934</v>
      </c>
    </row>
    <row r="72" spans="1:36" ht="17.25">
      <c r="A72" s="236" t="s">
        <v>1469</v>
      </c>
      <c r="B72" s="237" t="s">
        <v>1470</v>
      </c>
      <c r="C72" s="238">
        <f t="shared" si="5"/>
        <v>33176584</v>
      </c>
      <c r="D72" s="239">
        <f t="shared" si="4"/>
        <v>22.175395621311285</v>
      </c>
      <c r="E72" s="240">
        <v>966131</v>
      </c>
      <c r="F72" s="240">
        <v>901509</v>
      </c>
      <c r="G72" s="240">
        <v>990112</v>
      </c>
      <c r="H72" s="240">
        <v>1021919</v>
      </c>
      <c r="I72" s="240">
        <v>1065383</v>
      </c>
      <c r="J72" s="240">
        <v>987286</v>
      </c>
      <c r="K72" s="240">
        <v>1090288</v>
      </c>
      <c r="L72" s="240">
        <v>1083454</v>
      </c>
      <c r="M72" s="240">
        <v>1046207</v>
      </c>
      <c r="N72" s="240">
        <v>1111422</v>
      </c>
      <c r="O72" s="240">
        <v>1012375</v>
      </c>
      <c r="P72" s="240">
        <v>998184</v>
      </c>
      <c r="Q72" s="240">
        <v>1061028</v>
      </c>
      <c r="R72" s="240">
        <v>982993</v>
      </c>
      <c r="S72" s="240">
        <v>1046517</v>
      </c>
      <c r="T72" s="240">
        <v>998430</v>
      </c>
      <c r="U72" s="240">
        <v>1156843</v>
      </c>
      <c r="V72" s="240">
        <v>1025184</v>
      </c>
      <c r="W72" s="240">
        <v>1068939</v>
      </c>
      <c r="X72" s="240">
        <v>1256169</v>
      </c>
      <c r="Y72" s="240">
        <v>1023675</v>
      </c>
      <c r="Z72" s="240">
        <v>1049571</v>
      </c>
      <c r="AA72" s="240">
        <v>1036188</v>
      </c>
      <c r="AB72" s="240">
        <v>427211</v>
      </c>
      <c r="AC72" s="240">
        <v>1341380</v>
      </c>
      <c r="AD72" s="240">
        <v>1084360</v>
      </c>
      <c r="AE72" s="240">
        <v>1024516</v>
      </c>
      <c r="AF72" s="240">
        <v>980999</v>
      </c>
      <c r="AG72" s="240">
        <v>1172128</v>
      </c>
      <c r="AH72" s="240">
        <v>972634</v>
      </c>
      <c r="AI72" s="240">
        <v>1065898</v>
      </c>
      <c r="AJ72" s="240">
        <v>1127651</v>
      </c>
    </row>
    <row r="73" spans="1:36" ht="17.25">
      <c r="A73" s="236" t="s">
        <v>1471</v>
      </c>
      <c r="B73" s="241" t="s">
        <v>1472</v>
      </c>
      <c r="C73" s="238">
        <f t="shared" si="5"/>
        <v>34304455</v>
      </c>
      <c r="D73" s="239">
        <f t="shared" si="4"/>
        <v>22.71799375572008</v>
      </c>
      <c r="E73" s="240">
        <v>938859</v>
      </c>
      <c r="F73" s="240">
        <v>964572</v>
      </c>
      <c r="G73" s="240">
        <v>1057797</v>
      </c>
      <c r="H73" s="240">
        <v>1018620</v>
      </c>
      <c r="I73" s="240">
        <v>1044975</v>
      </c>
      <c r="J73" s="240">
        <v>968770</v>
      </c>
      <c r="K73" s="240">
        <v>1137165</v>
      </c>
      <c r="L73" s="240">
        <v>1092910</v>
      </c>
      <c r="M73" s="240">
        <v>1059130</v>
      </c>
      <c r="N73" s="240">
        <v>1288136</v>
      </c>
      <c r="O73" s="240">
        <v>991734</v>
      </c>
      <c r="P73" s="240">
        <v>994705</v>
      </c>
      <c r="Q73" s="240">
        <v>1053051</v>
      </c>
      <c r="R73" s="240">
        <v>973397</v>
      </c>
      <c r="S73" s="240">
        <v>1022871</v>
      </c>
      <c r="T73" s="240">
        <v>1002783</v>
      </c>
      <c r="U73" s="240">
        <v>1197998</v>
      </c>
      <c r="V73" s="240">
        <v>1041970</v>
      </c>
      <c r="W73" s="240">
        <v>1078521</v>
      </c>
      <c r="X73" s="240">
        <v>1255544</v>
      </c>
      <c r="Y73" s="240">
        <v>1028002</v>
      </c>
      <c r="Z73" s="240">
        <v>1073184</v>
      </c>
      <c r="AA73" s="240">
        <v>1012713</v>
      </c>
      <c r="AB73" s="240">
        <v>555985</v>
      </c>
      <c r="AC73" s="240">
        <v>1375941</v>
      </c>
      <c r="AD73" s="240">
        <v>1080740</v>
      </c>
      <c r="AE73" s="240">
        <v>1062393</v>
      </c>
      <c r="AF73" s="240">
        <v>984672</v>
      </c>
      <c r="AG73" s="240">
        <v>1863561</v>
      </c>
      <c r="AH73" s="240">
        <v>932441</v>
      </c>
      <c r="AI73" s="240">
        <v>1027832</v>
      </c>
      <c r="AJ73" s="240">
        <v>1123483</v>
      </c>
    </row>
    <row r="74" spans="1:36" ht="17.25">
      <c r="A74" s="236" t="s">
        <v>1473</v>
      </c>
      <c r="B74" s="241" t="s">
        <v>1474</v>
      </c>
      <c r="C74" s="238">
        <f t="shared" si="5"/>
        <v>34414800</v>
      </c>
      <c r="D74" s="239">
        <f t="shared" si="4"/>
        <v>22.999489279305266</v>
      </c>
      <c r="E74" s="240">
        <v>990352</v>
      </c>
      <c r="F74" s="240">
        <v>923953</v>
      </c>
      <c r="G74" s="240">
        <v>1031396</v>
      </c>
      <c r="H74" s="240">
        <v>1072437</v>
      </c>
      <c r="I74" s="240">
        <v>1094132</v>
      </c>
      <c r="J74" s="240">
        <v>1009008</v>
      </c>
      <c r="K74" s="240">
        <v>1179470</v>
      </c>
      <c r="L74" s="240">
        <v>1109772</v>
      </c>
      <c r="M74" s="240">
        <v>1133260</v>
      </c>
      <c r="N74" s="240">
        <v>1140122</v>
      </c>
      <c r="O74" s="240">
        <v>1034415</v>
      </c>
      <c r="P74" s="240">
        <v>1022000</v>
      </c>
      <c r="Q74" s="240">
        <v>1083908</v>
      </c>
      <c r="R74" s="240">
        <v>1006674</v>
      </c>
      <c r="S74" s="240">
        <v>1071616</v>
      </c>
      <c r="T74" s="240">
        <v>1024238</v>
      </c>
      <c r="U74" s="240">
        <v>1243640</v>
      </c>
      <c r="V74" s="240">
        <v>1051420</v>
      </c>
      <c r="W74" s="240">
        <v>1097292</v>
      </c>
      <c r="X74" s="240">
        <v>1363450</v>
      </c>
      <c r="Y74" s="240">
        <v>1050258</v>
      </c>
      <c r="Z74" s="240">
        <v>1074684</v>
      </c>
      <c r="AA74" s="240">
        <v>1063140</v>
      </c>
      <c r="AB74" s="240">
        <v>432506</v>
      </c>
      <c r="AC74" s="240">
        <v>1453616</v>
      </c>
      <c r="AD74" s="240">
        <v>1109882</v>
      </c>
      <c r="AE74" s="240">
        <v>1054392</v>
      </c>
      <c r="AF74" s="240">
        <v>1012388</v>
      </c>
      <c r="AG74" s="240">
        <v>1242477</v>
      </c>
      <c r="AH74" s="240">
        <v>994638</v>
      </c>
      <c r="AI74" s="240">
        <v>1090102</v>
      </c>
      <c r="AJ74" s="240">
        <v>1154162</v>
      </c>
    </row>
    <row r="75" spans="1:36" ht="17.25">
      <c r="A75" s="225" t="s">
        <v>1475</v>
      </c>
      <c r="B75" s="242" t="s">
        <v>1476</v>
      </c>
      <c r="C75" s="243">
        <f t="shared" si="5"/>
        <v>37202956</v>
      </c>
      <c r="D75" s="244">
        <f t="shared" si="4"/>
        <v>24.84395482784813</v>
      </c>
      <c r="E75" s="245">
        <v>1065712</v>
      </c>
      <c r="F75" s="245">
        <v>1010272</v>
      </c>
      <c r="G75" s="245">
        <v>1109512</v>
      </c>
      <c r="H75" s="245">
        <v>1149760</v>
      </c>
      <c r="I75" s="245">
        <v>1203240</v>
      </c>
      <c r="J75" s="245">
        <v>1095216</v>
      </c>
      <c r="K75" s="245">
        <v>1310616</v>
      </c>
      <c r="L75" s="245">
        <v>1183452</v>
      </c>
      <c r="M75" s="245">
        <v>1234352</v>
      </c>
      <c r="N75" s="245">
        <v>1230780</v>
      </c>
      <c r="O75" s="245">
        <v>1113204</v>
      </c>
      <c r="P75" s="245">
        <v>1098176</v>
      </c>
      <c r="Q75" s="245">
        <v>1171300</v>
      </c>
      <c r="R75" s="245">
        <v>1083316</v>
      </c>
      <c r="S75" s="245">
        <v>1150928</v>
      </c>
      <c r="T75" s="245">
        <v>1111268</v>
      </c>
      <c r="U75" s="245">
        <v>1347696</v>
      </c>
      <c r="V75" s="245">
        <v>1127728</v>
      </c>
      <c r="W75" s="245">
        <v>1176428</v>
      </c>
      <c r="X75" s="245">
        <v>1464512</v>
      </c>
      <c r="Y75" s="245">
        <v>1126272</v>
      </c>
      <c r="Z75" s="245">
        <v>1147336</v>
      </c>
      <c r="AA75" s="245">
        <v>1139628</v>
      </c>
      <c r="AB75" s="245">
        <v>468864</v>
      </c>
      <c r="AC75" s="245">
        <v>1566824</v>
      </c>
      <c r="AD75" s="245">
        <v>1191404</v>
      </c>
      <c r="AE75" s="245">
        <v>1129196</v>
      </c>
      <c r="AF75" s="245">
        <v>1125448</v>
      </c>
      <c r="AG75" s="245">
        <v>1374900</v>
      </c>
      <c r="AH75" s="245">
        <v>1082272</v>
      </c>
      <c r="AI75" s="245">
        <v>1168908</v>
      </c>
      <c r="AJ75" s="245">
        <v>1244436</v>
      </c>
    </row>
    <row r="76" spans="1:36" ht="17.25">
      <c r="A76" s="225" t="s">
        <v>1477</v>
      </c>
      <c r="B76" s="246" t="s">
        <v>1478</v>
      </c>
      <c r="C76" s="243">
        <f t="shared" si="5"/>
        <v>42391667</v>
      </c>
      <c r="D76" s="244">
        <f t="shared" si="4"/>
        <v>28.3386811629044</v>
      </c>
      <c r="E76" s="245">
        <v>1232989</v>
      </c>
      <c r="F76" s="245">
        <v>1160115</v>
      </c>
      <c r="G76" s="245">
        <v>1380703</v>
      </c>
      <c r="H76" s="245">
        <v>1206306</v>
      </c>
      <c r="I76" s="245">
        <v>1236551</v>
      </c>
      <c r="J76" s="245">
        <v>1248924</v>
      </c>
      <c r="K76" s="245">
        <v>1384131</v>
      </c>
      <c r="L76" s="245">
        <v>1392405</v>
      </c>
      <c r="M76" s="245">
        <v>1296467</v>
      </c>
      <c r="N76" s="245">
        <v>1497013</v>
      </c>
      <c r="O76" s="245">
        <v>1307100</v>
      </c>
      <c r="P76" s="245">
        <v>1280921</v>
      </c>
      <c r="Q76" s="245">
        <v>1361368</v>
      </c>
      <c r="R76" s="245">
        <v>1269624</v>
      </c>
      <c r="S76" s="245">
        <v>1353080</v>
      </c>
      <c r="T76" s="245">
        <v>1139364</v>
      </c>
      <c r="U76" s="245">
        <v>1624095</v>
      </c>
      <c r="V76" s="245">
        <v>1353863</v>
      </c>
      <c r="W76" s="245">
        <v>1384645</v>
      </c>
      <c r="X76" s="245">
        <v>1710951</v>
      </c>
      <c r="Y76" s="245">
        <v>1316159</v>
      </c>
      <c r="Z76" s="245">
        <v>1373722</v>
      </c>
      <c r="AA76" s="245">
        <v>1328595</v>
      </c>
      <c r="AB76" s="245">
        <v>675560</v>
      </c>
      <c r="AC76" s="245">
        <v>1639118</v>
      </c>
      <c r="AD76" s="245">
        <v>1400277</v>
      </c>
      <c r="AE76" s="245">
        <v>1157710</v>
      </c>
      <c r="AF76" s="245">
        <v>1349050</v>
      </c>
      <c r="AG76" s="245">
        <v>1411673</v>
      </c>
      <c r="AH76" s="245">
        <v>1288173</v>
      </c>
      <c r="AI76" s="245">
        <v>1355857</v>
      </c>
      <c r="AJ76" s="245">
        <v>1275158</v>
      </c>
    </row>
    <row r="77" spans="1:36" ht="17.25">
      <c r="A77" s="225" t="s">
        <v>1479</v>
      </c>
      <c r="B77" s="242" t="s">
        <v>1480</v>
      </c>
      <c r="C77" s="243">
        <f t="shared" si="5"/>
        <v>43397340</v>
      </c>
      <c r="D77" s="244">
        <f t="shared" si="4"/>
        <v>28.94016365604805</v>
      </c>
      <c r="E77" s="245">
        <v>1223891</v>
      </c>
      <c r="F77" s="245">
        <v>1149257</v>
      </c>
      <c r="G77" s="245">
        <v>1373841</v>
      </c>
      <c r="H77" s="245">
        <v>1350281</v>
      </c>
      <c r="I77" s="245">
        <v>1381566</v>
      </c>
      <c r="J77" s="245">
        <v>1239550</v>
      </c>
      <c r="K77" s="245">
        <v>1514638</v>
      </c>
      <c r="L77" s="245">
        <v>1375600</v>
      </c>
      <c r="M77" s="245">
        <v>1431040</v>
      </c>
      <c r="N77" s="245">
        <v>1477783</v>
      </c>
      <c r="O77" s="245">
        <v>1295015</v>
      </c>
      <c r="P77" s="245">
        <v>1262891</v>
      </c>
      <c r="Q77" s="245">
        <v>1349358</v>
      </c>
      <c r="R77" s="245">
        <v>1258899</v>
      </c>
      <c r="S77" s="245">
        <v>1335359</v>
      </c>
      <c r="T77" s="245">
        <v>1271456</v>
      </c>
      <c r="U77" s="245">
        <v>1596335</v>
      </c>
      <c r="V77" s="245">
        <v>1336017</v>
      </c>
      <c r="W77" s="245">
        <v>1369972</v>
      </c>
      <c r="X77" s="245">
        <v>1690161</v>
      </c>
      <c r="Y77" s="245">
        <v>1300940</v>
      </c>
      <c r="Z77" s="245">
        <v>1352062</v>
      </c>
      <c r="AA77" s="245">
        <v>1313038</v>
      </c>
      <c r="AB77" s="245">
        <v>661378</v>
      </c>
      <c r="AC77" s="245">
        <v>1774515</v>
      </c>
      <c r="AD77" s="245">
        <v>1372494</v>
      </c>
      <c r="AE77" s="245">
        <v>1282322</v>
      </c>
      <c r="AF77" s="245">
        <v>1310511</v>
      </c>
      <c r="AG77" s="245">
        <v>1716677</v>
      </c>
      <c r="AH77" s="245">
        <v>1269406</v>
      </c>
      <c r="AI77" s="245">
        <v>1345106</v>
      </c>
      <c r="AJ77" s="245">
        <v>1415981</v>
      </c>
    </row>
    <row r="78" spans="1:36" ht="17.25">
      <c r="A78" s="226" t="s">
        <v>1481</v>
      </c>
      <c r="B78" s="227" t="s">
        <v>1482</v>
      </c>
      <c r="C78" s="228">
        <f t="shared" si="5"/>
        <v>45071521</v>
      </c>
      <c r="D78" s="229">
        <f t="shared" si="4"/>
        <v>30.055485670128686</v>
      </c>
      <c r="E78" s="230">
        <v>1266066</v>
      </c>
      <c r="F78" s="230">
        <v>1183514</v>
      </c>
      <c r="G78" s="230">
        <v>1430304</v>
      </c>
      <c r="H78" s="230">
        <v>1405919</v>
      </c>
      <c r="I78" s="230">
        <v>1441275</v>
      </c>
      <c r="J78" s="230">
        <v>1277016</v>
      </c>
      <c r="K78" s="230">
        <v>1566658</v>
      </c>
      <c r="L78" s="230">
        <v>1431013</v>
      </c>
      <c r="M78" s="230">
        <v>1479010</v>
      </c>
      <c r="N78" s="230">
        <v>1542811</v>
      </c>
      <c r="O78" s="230">
        <v>1344444</v>
      </c>
      <c r="P78" s="230">
        <v>1309448</v>
      </c>
      <c r="Q78" s="230">
        <v>1398418</v>
      </c>
      <c r="R78" s="230">
        <v>1310272</v>
      </c>
      <c r="S78" s="230">
        <v>1387413</v>
      </c>
      <c r="T78" s="230">
        <v>1316703</v>
      </c>
      <c r="U78" s="230">
        <v>1649410</v>
      </c>
      <c r="V78" s="230">
        <v>1397536</v>
      </c>
      <c r="W78" s="230">
        <v>1425648</v>
      </c>
      <c r="X78" s="230">
        <v>1737859</v>
      </c>
      <c r="Y78" s="230">
        <v>1352563</v>
      </c>
      <c r="Z78" s="230">
        <v>1413040</v>
      </c>
      <c r="AA78" s="230">
        <v>1364296</v>
      </c>
      <c r="AB78" s="230">
        <v>717916</v>
      </c>
      <c r="AC78" s="230">
        <v>1818923</v>
      </c>
      <c r="AD78" s="230">
        <v>1430790</v>
      </c>
      <c r="AE78" s="230">
        <v>1331508</v>
      </c>
      <c r="AF78" s="230">
        <v>1368435</v>
      </c>
      <c r="AG78" s="230">
        <v>1781024</v>
      </c>
      <c r="AH78" s="230">
        <v>1325867</v>
      </c>
      <c r="AI78" s="230">
        <v>1393366</v>
      </c>
      <c r="AJ78" s="230">
        <v>1473056</v>
      </c>
    </row>
    <row r="79" spans="1:36" ht="17.25">
      <c r="A79" s="226" t="s">
        <v>1483</v>
      </c>
      <c r="B79" s="231" t="s">
        <v>1484</v>
      </c>
      <c r="C79" s="228">
        <f t="shared" si="5"/>
        <v>55085644</v>
      </c>
      <c r="D79" s="229">
        <f t="shared" si="4"/>
        <v>36.624900395002662</v>
      </c>
      <c r="E79" s="230">
        <v>1503012</v>
      </c>
      <c r="F79" s="230">
        <v>1614596</v>
      </c>
      <c r="G79" s="230">
        <v>1986964</v>
      </c>
      <c r="H79" s="230">
        <v>1653664</v>
      </c>
      <c r="I79" s="230">
        <v>1759088</v>
      </c>
      <c r="J79" s="230">
        <v>1690788</v>
      </c>
      <c r="K79" s="230">
        <v>1893664</v>
      </c>
      <c r="L79" s="230">
        <v>1699124</v>
      </c>
      <c r="M79" s="230">
        <v>1694064</v>
      </c>
      <c r="N79" s="230">
        <v>2220244</v>
      </c>
      <c r="O79" s="230">
        <v>1551748</v>
      </c>
      <c r="P79" s="230">
        <v>1518772</v>
      </c>
      <c r="Q79" s="230">
        <v>1673652</v>
      </c>
      <c r="R79" s="230">
        <v>1542900</v>
      </c>
      <c r="S79" s="230">
        <v>1631812</v>
      </c>
      <c r="T79" s="230">
        <v>1558304</v>
      </c>
      <c r="U79" s="230">
        <v>1875364</v>
      </c>
      <c r="V79" s="230">
        <v>1689988</v>
      </c>
      <c r="W79" s="230">
        <v>1783780</v>
      </c>
      <c r="X79" s="230">
        <v>2010836</v>
      </c>
      <c r="Y79" s="230">
        <v>1675396</v>
      </c>
      <c r="Z79" s="230">
        <v>1677396</v>
      </c>
      <c r="AA79" s="230">
        <v>1618660</v>
      </c>
      <c r="AB79" s="230">
        <v>987604</v>
      </c>
      <c r="AC79" s="230">
        <v>2149296</v>
      </c>
      <c r="AD79" s="230">
        <v>1699940</v>
      </c>
      <c r="AE79" s="230">
        <v>1582576</v>
      </c>
      <c r="AF79" s="230">
        <v>1482772</v>
      </c>
      <c r="AG79" s="230">
        <v>2623152</v>
      </c>
      <c r="AH79" s="230">
        <v>1566276</v>
      </c>
      <c r="AI79" s="230">
        <v>1705124</v>
      </c>
      <c r="AJ79" s="230">
        <v>1765088</v>
      </c>
    </row>
    <row r="80" spans="1:36" ht="17.25">
      <c r="A80" s="226" t="s">
        <v>1485</v>
      </c>
      <c r="B80" s="231" t="s">
        <v>1486</v>
      </c>
      <c r="C80" s="228">
        <f t="shared" si="5"/>
        <v>56120724</v>
      </c>
      <c r="D80" s="229">
        <f>((E80*100/4457012)+(F80*100/4666092)+(G80*100/4564694)+(H80*100/3934071)+(I80*100/4887915)+(J80*100/4213444)+(K80*100/3969347)+(L80*100/4648398)+(M80*100/4423667)+(N80*100/4183633)+(O80*100/4598571)+(P80*100/4650256)+(Q80*100/4428442)+(R80*100/3615242)+(S80*100/5768156)+(T80*100/4495508)+(U80*100/4650166)+(V80*100/4800546)+(W80*100/5054225)+(X80*100/4265815)+(Y80*100/4769289)+(Z80*100/4139514)+(AA80*100/4248764)+(AB80*100/4567817)+(AC80*100/6356919)+(AD80*100/4414836)+(AE80*100/5105832)+(AF80*100/5712519)+(AG80*100/11302195)+(AI80*100/5427923)+(AJ80*100/4134752))/31</f>
        <v>37.323686226465085</v>
      </c>
      <c r="E80" s="230">
        <v>1524764</v>
      </c>
      <c r="F80" s="230">
        <v>1476583</v>
      </c>
      <c r="G80" s="230">
        <v>1872516</v>
      </c>
      <c r="H80" s="230">
        <v>1794012</v>
      </c>
      <c r="I80" s="230">
        <v>1836419</v>
      </c>
      <c r="J80" s="230">
        <v>1547517</v>
      </c>
      <c r="K80" s="230">
        <v>1897268</v>
      </c>
      <c r="L80" s="230">
        <v>1831842</v>
      </c>
      <c r="M80" s="230">
        <v>1827431</v>
      </c>
      <c r="N80" s="230">
        <v>2005595</v>
      </c>
      <c r="O80" s="230">
        <v>1624587</v>
      </c>
      <c r="P80" s="230">
        <v>1570974</v>
      </c>
      <c r="Q80" s="230">
        <v>1695483</v>
      </c>
      <c r="R80" s="230">
        <v>1598857</v>
      </c>
      <c r="S80" s="230">
        <v>1684677</v>
      </c>
      <c r="T80" s="230">
        <v>1577092</v>
      </c>
      <c r="U80" s="230">
        <v>2053352</v>
      </c>
      <c r="V80" s="230">
        <v>1726618</v>
      </c>
      <c r="W80" s="230">
        <v>1745341</v>
      </c>
      <c r="X80" s="230">
        <v>2052012</v>
      </c>
      <c r="Y80" s="230">
        <v>1650440</v>
      </c>
      <c r="Z80" s="230">
        <v>1818102</v>
      </c>
      <c r="AA80" s="230">
        <v>1664701</v>
      </c>
      <c r="AB80" s="230">
        <v>1071434</v>
      </c>
      <c r="AC80" s="230">
        <v>2114233</v>
      </c>
      <c r="AD80" s="230">
        <v>1820881</v>
      </c>
      <c r="AE80" s="230">
        <v>1600525</v>
      </c>
      <c r="AF80" s="230">
        <v>1711447</v>
      </c>
      <c r="AG80" s="230">
        <v>2487170</v>
      </c>
      <c r="AH80" s="230">
        <v>1686385</v>
      </c>
      <c r="AI80" s="230">
        <v>1694774</v>
      </c>
      <c r="AJ80" s="230">
        <v>1857692</v>
      </c>
    </row>
    <row r="81" spans="1:36" ht="17.25">
      <c r="A81" s="226" t="s">
        <v>1487</v>
      </c>
      <c r="B81" s="231" t="s">
        <v>1452</v>
      </c>
      <c r="C81" s="228">
        <f t="shared" si="5"/>
        <v>58186647</v>
      </c>
      <c r="D81" s="229">
        <f>((E81*100/4457012)+(F81*100/4666092)+(G81*100/4564694)+(H81*100/3934071)+(I81*100/4887915)+(J81*100/4213444)+(K81*100/3969347)+(L81*100/4648398)+(M81*100/4423667)+(N81*100/4183633)+(O81*100/4598571)+(P81*100/4650256)+(Q81*100/4428442)+(R81*100/3615242)+(S81*100/5768156)+(T81*100/4495508)+(U81*100/4650166)+(V81*100/4800546)+(W81*100/5054225)+(X81*100/4265815)+(Y81*100/4769289)+(Z81*100/4139514)+(AA81*100/4248764)+(AB81*100/4567817)+(AC81*100/6356919)+(AD81*100/4414836)+(AE81*100/5105832)+(AF81*100/5712519)+(AG81*100/11302195)+(AI81*100/5427923)+(AJ81*100/4134752))/31</f>
        <v>38.769208417811669</v>
      </c>
      <c r="E81" s="230">
        <v>1591458</v>
      </c>
      <c r="F81" s="230">
        <v>1476612</v>
      </c>
      <c r="G81" s="230">
        <v>1872545</v>
      </c>
      <c r="H81" s="230">
        <v>1794037</v>
      </c>
      <c r="I81" s="230">
        <v>1836403</v>
      </c>
      <c r="J81" s="230">
        <v>1607387</v>
      </c>
      <c r="K81" s="230">
        <v>1979393</v>
      </c>
      <c r="L81" s="230">
        <v>1831871</v>
      </c>
      <c r="M81" s="230">
        <v>1827415</v>
      </c>
      <c r="N81" s="230">
        <v>2005624</v>
      </c>
      <c r="O81" s="230">
        <v>1691743</v>
      </c>
      <c r="P81" s="230">
        <v>1639369</v>
      </c>
      <c r="Q81" s="230">
        <v>1768433</v>
      </c>
      <c r="R81" s="230">
        <v>1680567</v>
      </c>
      <c r="S81" s="230">
        <v>1757381</v>
      </c>
      <c r="T81" s="230">
        <v>1647210</v>
      </c>
      <c r="U81" s="230">
        <v>2053381</v>
      </c>
      <c r="V81" s="230">
        <v>1799415</v>
      </c>
      <c r="W81" s="230">
        <v>1827018</v>
      </c>
      <c r="X81" s="230">
        <v>2150148</v>
      </c>
      <c r="Y81" s="230">
        <v>1720923</v>
      </c>
      <c r="Z81" s="230">
        <v>1818131</v>
      </c>
      <c r="AA81" s="230">
        <v>1735126</v>
      </c>
      <c r="AB81" s="230">
        <v>1872545</v>
      </c>
      <c r="AC81" s="230">
        <v>2205029</v>
      </c>
      <c r="AD81" s="230">
        <v>1820910</v>
      </c>
      <c r="AE81" s="230">
        <v>1664380</v>
      </c>
      <c r="AF81" s="230">
        <v>1711476</v>
      </c>
      <c r="AG81" s="230">
        <v>2487155</v>
      </c>
      <c r="AH81" s="230">
        <v>1686414</v>
      </c>
      <c r="AI81" s="230">
        <v>1769472</v>
      </c>
      <c r="AJ81" s="230">
        <v>1857676</v>
      </c>
    </row>
    <row r="82" spans="1:36" ht="17.25">
      <c r="A82" s="226" t="s">
        <v>1488</v>
      </c>
      <c r="B82" s="227" t="s">
        <v>1403</v>
      </c>
      <c r="C82" s="228">
        <f t="shared" si="5"/>
        <v>62260043</v>
      </c>
      <c r="D82" s="229">
        <f>((E82*100/4457012)+(F82*100/4666092)+(G82*100/4564694)+(H82*100/3934071)+(I82*100/4887915)+(J82*100/4213444)+(K82*100/3969347)+(L82*100/4648398)+(M82*100/4423667)+(N82*100/4183633)+(O82*100/4598571)+(P82*100/4650256)+(Q82*100/4428442)+(R82*100/3615242)+(S82*100/5768156)+(T82*100/4495508)+(U82*100/4650166)+(V82*100/4800546)+(W82*100/5054225)+(X82*100/4265815)+(Y82*100/4769289)+(Z82*100/4139514)+(AA82*100/4248764)+(AB82*100/4567817)+(AC82*100/6356919)+(AD82*100/4414836)+(AE82*100/5105832)+(AF82*100/5712519)+(AG82*100/11302195)+(AI82*100/5427923)+(AJ82*100/4134752))/31</f>
        <v>41.365442917544406</v>
      </c>
      <c r="E82" s="230">
        <v>1728056</v>
      </c>
      <c r="F82" s="230">
        <v>1561044</v>
      </c>
      <c r="G82" s="230">
        <v>1992256</v>
      </c>
      <c r="H82" s="230">
        <v>1941797</v>
      </c>
      <c r="I82" s="230">
        <v>1987816</v>
      </c>
      <c r="J82" s="230">
        <v>1702898</v>
      </c>
      <c r="K82" s="230">
        <v>2120524</v>
      </c>
      <c r="L82" s="230">
        <v>1975311</v>
      </c>
      <c r="M82" s="230">
        <v>1991288</v>
      </c>
      <c r="N82" s="230">
        <v>2139870</v>
      </c>
      <c r="O82" s="230">
        <v>1833342</v>
      </c>
      <c r="P82" s="230">
        <v>1779753</v>
      </c>
      <c r="Q82" s="230">
        <v>1911900</v>
      </c>
      <c r="R82" s="230">
        <v>1815475</v>
      </c>
      <c r="S82" s="230">
        <v>1895451</v>
      </c>
      <c r="T82" s="230">
        <v>1788197</v>
      </c>
      <c r="U82" s="230">
        <v>2232477</v>
      </c>
      <c r="V82" s="230">
        <v>1952560</v>
      </c>
      <c r="W82" s="230">
        <v>1986123</v>
      </c>
      <c r="X82" s="230">
        <v>2331409</v>
      </c>
      <c r="Y82" s="230">
        <v>1865454</v>
      </c>
      <c r="Z82" s="230">
        <v>1980547</v>
      </c>
      <c r="AA82" s="230">
        <v>1878798</v>
      </c>
      <c r="AB82" s="230">
        <v>1186578</v>
      </c>
      <c r="AC82" s="230">
        <v>2408443</v>
      </c>
      <c r="AD82" s="230">
        <v>1986487</v>
      </c>
      <c r="AE82" s="230">
        <v>1815568</v>
      </c>
      <c r="AF82" s="230">
        <v>1832552</v>
      </c>
      <c r="AG82" s="230">
        <v>2890121</v>
      </c>
      <c r="AH82" s="230">
        <v>1825532</v>
      </c>
      <c r="AI82" s="230">
        <v>1905184</v>
      </c>
      <c r="AJ82" s="230">
        <v>2017232</v>
      </c>
    </row>
    <row r="83" spans="1:36" ht="17.25">
      <c r="A83" s="226" t="s">
        <v>1489</v>
      </c>
      <c r="B83" s="232" t="s">
        <v>1490</v>
      </c>
      <c r="C83" s="233">
        <f t="shared" si="5"/>
        <v>68116490</v>
      </c>
      <c r="D83" s="234">
        <f>((E83*100/4457012)+(F83*100/4666092)+(G83*100/4564694)+(H83*100/3934071)+(I83*100/4887915)+(J83*100/4213444)+(K83*100/3969347)+(L83*100/4648398)+(M83*100/4423667)+(N83*100/4183633)+(O83*100/4598571)+(P83*100/4650256)+(Q83*100/4428442)+(R83*100/3615242)+(S83*100/5768156)+(T83*100/4495508)+(U83*100/4650166)+(V83*100/4800546)+(W83*100/5054225)+(X83*100/4265815)+(Y83*100/4769289)+(Z83*100/4139514)+(AA83*100/4248764)+(AB83*100/4567817)+(AC83*100/6356919)+(AD83*100/4414836)+(AE83*100/5105832)+(AF83*100/5712519)+(AG83*100/11302195)+(AI83*100/5427923)+(AJ83*100/4134752))/31</f>
        <v>45.265076845614104</v>
      </c>
      <c r="E83" s="235">
        <v>1876918</v>
      </c>
      <c r="F83" s="235">
        <v>1719462</v>
      </c>
      <c r="G83" s="235">
        <v>2243616</v>
      </c>
      <c r="H83" s="235">
        <v>2136251</v>
      </c>
      <c r="I83" s="235">
        <v>2252477</v>
      </c>
      <c r="J83" s="235">
        <v>1877605</v>
      </c>
      <c r="K83" s="235">
        <v>2332626</v>
      </c>
      <c r="L83" s="235">
        <v>2159219</v>
      </c>
      <c r="M83" s="235">
        <v>2133007</v>
      </c>
      <c r="N83" s="235">
        <v>2394868</v>
      </c>
      <c r="O83" s="235">
        <v>1994744</v>
      </c>
      <c r="P83" s="235">
        <v>1929090</v>
      </c>
      <c r="Q83" s="235">
        <v>2091600</v>
      </c>
      <c r="R83" s="235">
        <v>1998192</v>
      </c>
      <c r="S83" s="235">
        <v>2075167</v>
      </c>
      <c r="T83" s="235">
        <v>1937319</v>
      </c>
      <c r="U83" s="235">
        <v>2413151</v>
      </c>
      <c r="V83" s="235">
        <v>2145459</v>
      </c>
      <c r="W83" s="235">
        <v>2177758</v>
      </c>
      <c r="X83" s="235">
        <v>2494287</v>
      </c>
      <c r="Y83" s="235">
        <v>2033579</v>
      </c>
      <c r="Z83" s="235">
        <v>2157074</v>
      </c>
      <c r="AA83" s="235">
        <v>2060888</v>
      </c>
      <c r="AB83" s="235">
        <v>1381005</v>
      </c>
      <c r="AC83" s="235">
        <v>2527496</v>
      </c>
      <c r="AD83" s="235">
        <v>2154999</v>
      </c>
      <c r="AE83" s="235">
        <v>1948412</v>
      </c>
      <c r="AF83" s="235">
        <v>2025078</v>
      </c>
      <c r="AG83" s="235">
        <v>3113445</v>
      </c>
      <c r="AH83" s="235">
        <v>2042869</v>
      </c>
      <c r="AI83" s="235">
        <v>2090210</v>
      </c>
      <c r="AJ83" s="235">
        <v>2198619</v>
      </c>
    </row>
  </sheetData>
  <sortState ref="A13:AJ26">
    <sortCondition ref="C13:C26"/>
  </sortState>
  <mergeCells count="18">
    <mergeCell ref="V8:AA8"/>
    <mergeCell ref="AC8:AD8"/>
    <mergeCell ref="AI8:AJ8"/>
    <mergeCell ref="C1:S5"/>
    <mergeCell ref="T1:AJ5"/>
    <mergeCell ref="F7:G7"/>
    <mergeCell ref="J7:K7"/>
    <mergeCell ref="L7:N7"/>
    <mergeCell ref="O7:U7"/>
    <mergeCell ref="V7:AA7"/>
    <mergeCell ref="AC7:AD7"/>
    <mergeCell ref="AI7:AJ7"/>
    <mergeCell ref="A10:B10"/>
    <mergeCell ref="A11:B11"/>
    <mergeCell ref="F8:G8"/>
    <mergeCell ref="J8:K8"/>
    <mergeCell ref="O8:U8"/>
    <mergeCell ref="A7:B9"/>
  </mergeCells>
  <conditionalFormatting sqref="Z13:Z83">
    <cfRule type="cellIs" dxfId="4" priority="8" stopIfTrue="1" operator="equal">
      <formula>MIN(Z$13:Z$83)</formula>
    </cfRule>
  </conditionalFormatting>
  <conditionalFormatting sqref="E13:H83 U13:W83 Y13:Y83 AA13:AE83 J13:S83">
    <cfRule type="cellIs" dxfId="3" priority="5" stopIfTrue="1" operator="equal">
      <formula>MIN(#REF!)</formula>
    </cfRule>
    <cfRule type="cellIs" priority="6" stopIfTrue="1" operator="lessThan">
      <formula>MIN(#REF!)*1.1</formula>
    </cfRule>
    <cfRule type="cellIs" dxfId="2" priority="7" stopIfTrue="1" operator="equal">
      <formula>MIN(E$13:E$83)</formula>
    </cfRule>
  </conditionalFormatting>
  <conditionalFormatting sqref="I13:I83 T13:T83 AF13:AJ83">
    <cfRule type="cellIs" priority="3" stopIfTrue="1" operator="lessThan">
      <formula>MIN(#REF!)*1.1</formula>
    </cfRule>
    <cfRule type="cellIs" dxfId="1" priority="4" stopIfTrue="1" operator="equal">
      <formula>MIN(I$13:I$83)</formula>
    </cfRule>
  </conditionalFormatting>
  <conditionalFormatting sqref="X13:X83">
    <cfRule type="cellIs" dxfId="0" priority="1" stopIfTrue="1" operator="equal">
      <formula>MIN(X$13:X$83)</formula>
    </cfRule>
    <cfRule type="cellIs" priority="2" stopIfTrue="1" operator="lessThan">
      <formula>MIN(#REF!)*1.1</formula>
    </cfRule>
  </conditionalFormatting>
  <hyperlinks>
    <hyperlink ref="A11" r:id="rId1"/>
    <hyperlink ref="E8" r:id="rId2"/>
  </hyperlinks>
  <pageMargins left="0.7" right="0.7" top="0.75" bottom="0.75" header="0.3" footer="0.3"/>
  <pageSetup paperSize="9" orientation="portrait" r:id="rId3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10 Commandments</vt:lpstr>
      <vt:lpstr>FAQ</vt:lpstr>
      <vt:lpstr>SqueezeChart2013</vt:lpstr>
      <vt:lpstr>AUDIO</vt:lpstr>
      <vt:lpstr>IMAGE</vt:lpstr>
      <vt:lpstr>PDF, JPG, MP3, PNG, Installer..</vt:lpstr>
      <vt:lpstr>Results</vt:lpstr>
      <vt:lpstr>TXT BIBLE</vt:lpstr>
    </vt:vector>
  </TitlesOfParts>
  <Company>www.squeezechart.com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SqueezeChart (C)</dc:title>
  <dc:creator>Stephan Busch</dc:creator>
  <cp:keywords>lossless data compression</cp:keywords>
  <cp:lastModifiedBy>squeeze</cp:lastModifiedBy>
  <cp:lastPrinted>2012-09-30T14:49:21Z</cp:lastPrinted>
  <dcterms:created xsi:type="dcterms:W3CDTF">2009-04-01T21:12:58Z</dcterms:created>
  <dcterms:modified xsi:type="dcterms:W3CDTF">2013-01-21T13:26:08Z</dcterms:modified>
</cp:coreProperties>
</file>