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CRAPDETAIL" sheetId="1" r:id="rId1"/>
    <sheet name="GRAPH" sheetId="2" r:id="rId2"/>
    <sheet name="Sheet3" sheetId="3" r:id="rId3"/>
  </sheets>
  <definedNames>
    <definedName name="_xlnm.Print_Area" localSheetId="0">'SCRAPDETAIL'!$A$40:$J$92</definedName>
    <definedName name="_xlnm.Print_Titles" localSheetId="0">'SCRAPDETAIL'!$1:$14</definedName>
  </definedNames>
  <calcPr fullCalcOnLoad="1"/>
</workbook>
</file>

<file path=xl/sharedStrings.xml><?xml version="1.0" encoding="utf-8"?>
<sst xmlns="http://schemas.openxmlformats.org/spreadsheetml/2006/main" count="148" uniqueCount="114">
  <si>
    <t>$INC/DEC</t>
  </si>
  <si>
    <t>REVOLING</t>
  </si>
  <si>
    <t>UNPRE.</t>
  </si>
  <si>
    <t>MONTH</t>
  </si>
  <si>
    <t>12 MONTH</t>
  </si>
  <si>
    <t>STEEL</t>
  </si>
  <si>
    <t>PLATE &amp;</t>
  </si>
  <si>
    <t>PERCENT</t>
  </si>
  <si>
    <t>DATE</t>
  </si>
  <si>
    <t>TURNINGS</t>
  </si>
  <si>
    <t>STRUCT</t>
  </si>
  <si>
    <t>CHG TURN</t>
  </si>
  <si>
    <t>CHG STR.</t>
  </si>
  <si>
    <t>2005</t>
  </si>
  <si>
    <t>N/A</t>
  </si>
  <si>
    <t>2006</t>
  </si>
  <si>
    <t>2007</t>
  </si>
  <si>
    <t>2008</t>
  </si>
  <si>
    <t>2009</t>
  </si>
  <si>
    <t>2010</t>
  </si>
  <si>
    <t>10</t>
  </si>
  <si>
    <t>2011</t>
  </si>
  <si>
    <t>11</t>
  </si>
  <si>
    <t>2012</t>
  </si>
  <si>
    <t>12</t>
  </si>
  <si>
    <t>SEP 05</t>
  </si>
  <si>
    <t>OCT 05</t>
  </si>
  <si>
    <t>NOV 05</t>
  </si>
  <si>
    <t>DEC 05</t>
  </si>
  <si>
    <t>JAN 06</t>
  </si>
  <si>
    <t>FEB 06</t>
  </si>
  <si>
    <t>MAR 06</t>
  </si>
  <si>
    <t>APR 06</t>
  </si>
  <si>
    <t>MAY 06</t>
  </si>
  <si>
    <t>JUN 06</t>
  </si>
  <si>
    <t>JUL 06</t>
  </si>
  <si>
    <t>AUG 06</t>
  </si>
  <si>
    <t>SEP 06</t>
  </si>
  <si>
    <t>OCT 06</t>
  </si>
  <si>
    <t>NOV 06</t>
  </si>
  <si>
    <t>DEC 06</t>
  </si>
  <si>
    <t>JAN 07</t>
  </si>
  <si>
    <t>FEB 07</t>
  </si>
  <si>
    <t>MAR 07</t>
  </si>
  <si>
    <t>APR 07</t>
  </si>
  <si>
    <t>MAY 07</t>
  </si>
  <si>
    <t>JUN 07</t>
  </si>
  <si>
    <t>JUL 07</t>
  </si>
  <si>
    <t>AUG 07</t>
  </si>
  <si>
    <t>SEP 07</t>
  </si>
  <si>
    <t>OCT 07</t>
  </si>
  <si>
    <t>NOV 07</t>
  </si>
  <si>
    <t>DEC 07</t>
  </si>
  <si>
    <t>JAN 08</t>
  </si>
  <si>
    <t>FEB 08</t>
  </si>
  <si>
    <t>MAR 08</t>
  </si>
  <si>
    <t>APR 08</t>
  </si>
  <si>
    <t>MAY 08</t>
  </si>
  <si>
    <t>JUN 08</t>
  </si>
  <si>
    <t>JUL 08</t>
  </si>
  <si>
    <t>AUG 08</t>
  </si>
  <si>
    <t>SEP 08</t>
  </si>
  <si>
    <t>OCT 08</t>
  </si>
  <si>
    <t>NOV 08</t>
  </si>
  <si>
    <t>DEC 08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</si>
  <si>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</si>
  <si>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</si>
  <si>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</si>
  <si>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</si>
  <si>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</si>
  <si>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</si>
  <si>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</si>
  <si>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</si>
  <si>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ESTIMATE</t>
  </si>
  <si>
    <t>SEP 09</t>
  </si>
  <si>
    <t>OCT 09</t>
  </si>
  <si>
    <t>NOV 09</t>
  </si>
  <si>
    <t>DEC 09</t>
  </si>
  <si>
    <t>JAN 10</t>
  </si>
  <si>
    <t>FEB 10</t>
  </si>
  <si>
    <t>MAR 10</t>
  </si>
  <si>
    <t>APR 10</t>
  </si>
  <si>
    <t>MAY 10</t>
  </si>
  <si>
    <t>JUN 10</t>
  </si>
  <si>
    <t>JUL 10</t>
  </si>
  <si>
    <t>AUG 10</t>
  </si>
  <si>
    <t>SEP 10</t>
  </si>
  <si>
    <t>OCT 10</t>
  </si>
  <si>
    <t>NOV 10</t>
  </si>
  <si>
    <t>DEC 10</t>
  </si>
  <si>
    <t>JAN 11</t>
  </si>
  <si>
    <t>FEB 11</t>
  </si>
  <si>
    <t>MAR 11</t>
  </si>
  <si>
    <t>APR 11</t>
  </si>
  <si>
    <t>MAY 11</t>
  </si>
  <si>
    <t>JUN 11</t>
  </si>
  <si>
    <t>JUL 11</t>
  </si>
  <si>
    <t>AUG 11</t>
  </si>
  <si>
    <t>SEP 11</t>
  </si>
  <si>
    <t>OCT 11</t>
  </si>
  <si>
    <t>NOV 11</t>
  </si>
  <si>
    <t>DEC 11</t>
  </si>
  <si>
    <t>JAN 12</t>
  </si>
  <si>
    <t>FEB 12</t>
  </si>
  <si>
    <t>MAR 12</t>
  </si>
  <si>
    <t>APR 12</t>
  </si>
  <si>
    <t>MAY 12</t>
  </si>
  <si>
    <t>JUN 12</t>
  </si>
  <si>
    <t>JUL 12</t>
  </si>
  <si>
    <t>AUG 12</t>
  </si>
  <si>
    <t>SEP 12</t>
  </si>
  <si>
    <t>OCT 12</t>
  </si>
  <si>
    <t>NOV 12</t>
  </si>
  <si>
    <t>DEC 12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</si>
</sst>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0%"/>
    <numFmt numFmtId="167" formatCode="0.00%"/>
    <numFmt numFmtId="168" formatCode="MMMMM\-YY"/>
    <numFmt numFmtId="169" formatCode="D\-MMM"/>
    <numFmt numFmtId="170" formatCode="_(\$* #,##0.00_);_(\$* \(#,##0.00\);_(\$* \-??_);_(@_)"/>
  </numFmts>
  <fonts count="3">
    <font>
      <sz val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5" fontId="0" fillId="0" borderId="0" xfId="15" applyFont="1" applyFill="1" applyBorder="1" applyAlignment="1" applyProtection="1">
      <alignment/>
      <protection/>
    </xf>
    <xf numFmtId="167" fontId="0" fillId="0" borderId="0" xfId="19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4" fontId="0" fillId="0" borderId="1" xfId="0" applyBorder="1" applyAlignment="1">
      <alignment/>
    </xf>
    <xf numFmtId="165" fontId="0" fillId="0" borderId="1" xfId="15" applyFont="1" applyFill="1" applyBorder="1" applyAlignment="1" applyProtection="1">
      <alignment/>
      <protection/>
    </xf>
    <xf numFmtId="167" fontId="0" fillId="0" borderId="1" xfId="19" applyNumberFormat="1" applyFont="1" applyFill="1" applyBorder="1" applyAlignment="1" applyProtection="1">
      <alignment/>
      <protection/>
    </xf>
    <xf numFmtId="164" fontId="0" fillId="0" borderId="2" xfId="0" applyBorder="1" applyAlignment="1">
      <alignment/>
    </xf>
    <xf numFmtId="165" fontId="0" fillId="0" borderId="2" xfId="15" applyFont="1" applyFill="1" applyBorder="1" applyAlignment="1" applyProtection="1">
      <alignment/>
      <protection/>
    </xf>
    <xf numFmtId="167" fontId="0" fillId="0" borderId="2" xfId="19" applyNumberFormat="1" applyFont="1" applyFill="1" applyBorder="1" applyAlignment="1" applyProtection="1">
      <alignment/>
      <protection/>
    </xf>
    <xf numFmtId="164" fontId="0" fillId="0" borderId="3" xfId="0" applyFont="1" applyBorder="1" applyAlignment="1">
      <alignment/>
    </xf>
    <xf numFmtId="165" fontId="0" fillId="0" borderId="4" xfId="15" applyFont="1" applyFill="1" applyBorder="1" applyAlignment="1" applyProtection="1">
      <alignment/>
      <protection/>
    </xf>
    <xf numFmtId="167" fontId="0" fillId="0" borderId="4" xfId="19" applyNumberFormat="1" applyFont="1" applyFill="1" applyBorder="1" applyAlignment="1" applyProtection="1">
      <alignment/>
      <protection/>
    </xf>
    <xf numFmtId="167" fontId="0" fillId="0" borderId="4" xfId="19" applyNumberFormat="1" applyFont="1" applyFill="1" applyBorder="1" applyAlignment="1" applyProtection="1">
      <alignment horizontal="center"/>
      <protection/>
    </xf>
    <xf numFmtId="164" fontId="0" fillId="0" borderId="5" xfId="0" applyFont="1" applyBorder="1" applyAlignment="1">
      <alignment/>
    </xf>
    <xf numFmtId="165" fontId="0" fillId="0" borderId="6" xfId="15" applyFont="1" applyFill="1" applyBorder="1" applyAlignment="1" applyProtection="1">
      <alignment/>
      <protection/>
    </xf>
    <xf numFmtId="168" fontId="0" fillId="0" borderId="5" xfId="0" applyNumberFormat="1" applyBorder="1" applyAlignment="1">
      <alignment/>
    </xf>
    <xf numFmtId="167" fontId="0" fillId="0" borderId="6" xfId="19" applyNumberFormat="1" applyFont="1" applyFill="1" applyBorder="1" applyAlignment="1" applyProtection="1">
      <alignment/>
      <protection/>
    </xf>
    <xf numFmtId="168" fontId="0" fillId="0" borderId="0" xfId="0" applyNumberFormat="1" applyFill="1" applyBorder="1" applyAlignment="1">
      <alignment/>
    </xf>
    <xf numFmtId="164" fontId="0" fillId="0" borderId="7" xfId="0" applyFont="1" applyBorder="1" applyAlignment="1">
      <alignment/>
    </xf>
    <xf numFmtId="165" fontId="0" fillId="0" borderId="8" xfId="15" applyFont="1" applyFill="1" applyBorder="1" applyAlignment="1" applyProtection="1">
      <alignment/>
      <protection/>
    </xf>
    <xf numFmtId="169" fontId="0" fillId="0" borderId="3" xfId="0" applyNumberFormat="1" applyFont="1" applyBorder="1" applyAlignment="1">
      <alignment/>
    </xf>
    <xf numFmtId="167" fontId="0" fillId="0" borderId="9" xfId="19" applyNumberFormat="1" applyFont="1" applyFill="1" applyBorder="1" applyAlignment="1" applyProtection="1">
      <alignment/>
      <protection/>
    </xf>
    <xf numFmtId="167" fontId="0" fillId="0" borderId="10" xfId="19" applyNumberFormat="1" applyFont="1" applyFill="1" applyBorder="1" applyAlignment="1" applyProtection="1">
      <alignment/>
      <protection/>
    </xf>
    <xf numFmtId="167" fontId="0" fillId="0" borderId="8" xfId="19" applyNumberFormat="1" applyFont="1" applyFill="1" applyBorder="1" applyAlignment="1" applyProtection="1">
      <alignment/>
      <protection/>
    </xf>
    <xf numFmtId="167" fontId="0" fillId="0" borderId="11" xfId="19" applyNumberFormat="1" applyFont="1" applyFill="1" applyBorder="1" applyAlignment="1" applyProtection="1">
      <alignment/>
      <protection/>
    </xf>
    <xf numFmtId="169" fontId="0" fillId="0" borderId="5" xfId="0" applyNumberFormat="1" applyFont="1" applyBorder="1" applyAlignment="1">
      <alignment/>
    </xf>
    <xf numFmtId="167" fontId="0" fillId="0" borderId="12" xfId="19" applyNumberFormat="1" applyFont="1" applyFill="1" applyBorder="1" applyAlignment="1" applyProtection="1">
      <alignment/>
      <protection/>
    </xf>
    <xf numFmtId="167" fontId="0" fillId="0" borderId="13" xfId="19" applyNumberFormat="1" applyFont="1" applyFill="1" applyBorder="1" applyAlignment="1" applyProtection="1">
      <alignment/>
      <protection/>
    </xf>
    <xf numFmtId="164" fontId="0" fillId="0" borderId="14" xfId="0" applyFont="1" applyBorder="1" applyAlignment="1">
      <alignment/>
    </xf>
    <xf numFmtId="165" fontId="0" fillId="0" borderId="12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OMNI SCRAP PRICE TRACKING NOVEMBER, 2011
</a:t>
            </a:r>
          </a:p>
        </c:rich>
      </c:tx>
      <c:layout>
        <c:manualLayout>
          <c:xMode val="factor"/>
          <c:yMode val="factor"/>
          <c:x val="0.04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925"/>
          <c:w val="0.73525"/>
          <c:h val="0.86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SCRAPDETAIL!$K$18:$K$92</c:f>
              <c:strCache/>
            </c:strRef>
          </c:cat>
          <c:val>
            <c:numRef>
              <c:f>SCRAPDETAIL!$B$18:$B$92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SCRAPDETAIL!$K$18:$K$92</c:f>
              <c:strCache/>
            </c:strRef>
          </c:cat>
          <c:val>
            <c:numRef>
              <c:f>SCRAPDETAIL!$C$18:$C$92</c:f>
              <c:numCache/>
            </c:numRef>
          </c:val>
          <c:smooth val="0"/>
        </c:ser>
        <c:marker val="1"/>
        <c:axId val="23688164"/>
        <c:axId val="11866885"/>
      </c:lineChart>
      <c:dateAx>
        <c:axId val="23688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66885"/>
        <c:crossesAt val="0"/>
        <c:auto val="0"/>
        <c:majorUnit val="3"/>
        <c:majorTimeUnit val="months"/>
        <c:minorUnit val="1"/>
        <c:minorTimeUnit val="months"/>
        <c:noMultiLvlLbl val="0"/>
      </c:dateAx>
      <c:valAx>
        <c:axId val="11866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_(\$* #,##0.00_);_(\$* \(#,##0.00\);_(\$* \-??_);_(@_)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8164"/>
        <c:crossesAt val="1"/>
        <c:crossBetween val="midCat"/>
        <c:dispUnits/>
        <c:majorUnit val="10"/>
        <c:minorUnit val="1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75"/>
          <c:y val="0.97075"/>
          <c:w val="0.208"/>
          <c:h val="0.01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18</xdr:row>
      <xdr:rowOff>47625</xdr:rowOff>
    </xdr:from>
    <xdr:to>
      <xdr:col>17</xdr:col>
      <xdr:colOff>66675</xdr:colOff>
      <xdr:row>79</xdr:row>
      <xdr:rowOff>123825</xdr:rowOff>
    </xdr:to>
    <xdr:graphicFrame>
      <xdr:nvGraphicFramePr>
        <xdr:cNvPr id="1" name="Chart 1"/>
        <xdr:cNvGraphicFramePr/>
      </xdr:nvGraphicFramePr>
      <xdr:xfrm>
        <a:off x="4200525" y="2962275"/>
        <a:ext cx="8391525" cy="995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>
      <pane ySplit="16" topLeftCell="A88" activePane="bottomLeft" state="frozen"/>
      <selection pane="topLeft" activeCell="A1" sqref="A1"/>
      <selection pane="bottomLeft" activeCell="A1" sqref="A1:I4"/>
    </sheetView>
  </sheetViews>
  <sheetFormatPr defaultColWidth="9.140625" defaultRowHeight="12.75"/>
  <cols>
    <col min="2" max="2" width="11.57421875" style="1" customWidth="1"/>
    <col min="3" max="3" width="9.140625" style="1" customWidth="1"/>
    <col min="4" max="4" width="9.8515625" style="1" customWidth="1"/>
    <col min="5" max="5" width="10.140625" style="1" customWidth="1"/>
    <col min="6" max="6" width="10.421875" style="2" customWidth="1"/>
    <col min="7" max="7" width="10.57421875" style="2" customWidth="1"/>
    <col min="8" max="8" width="10.28125" style="2" customWidth="1"/>
    <col min="9" max="9" width="10.8515625" style="2" customWidth="1"/>
    <col min="11" max="11" width="9.140625" style="3" customWidth="1"/>
  </cols>
  <sheetData>
    <row r="1" ht="14.25">
      <c r="K1" s="3">
        <v>6</v>
      </c>
    </row>
    <row r="5" spans="1:9" ht="13.5">
      <c r="A5" s="4"/>
      <c r="B5" s="5"/>
      <c r="C5" s="5"/>
      <c r="D5" s="5" t="s">
        <v>0</v>
      </c>
      <c r="E5" s="5" t="s">
        <v>0</v>
      </c>
      <c r="F5" s="6"/>
      <c r="G5" s="6"/>
      <c r="H5" s="6" t="s">
        <v>1</v>
      </c>
      <c r="I5" s="6" t="s">
        <v>1</v>
      </c>
    </row>
    <row r="6" spans="1:9" ht="12.75">
      <c r="A6" s="7"/>
      <c r="B6" s="8"/>
      <c r="C6" s="8" t="s">
        <v>2</v>
      </c>
      <c r="D6" s="8" t="s">
        <v>3</v>
      </c>
      <c r="E6" s="8" t="s">
        <v>3</v>
      </c>
      <c r="F6" s="9" t="s">
        <v>3</v>
      </c>
      <c r="G6" s="9" t="s">
        <v>3</v>
      </c>
      <c r="H6" s="9" t="s">
        <v>4</v>
      </c>
      <c r="I6" s="9" t="s">
        <v>4</v>
      </c>
    </row>
    <row r="7" spans="1:9" ht="12.75">
      <c r="A7" s="7"/>
      <c r="B7" s="8" t="s">
        <v>5</v>
      </c>
      <c r="C7" s="8" t="s">
        <v>6</v>
      </c>
      <c r="D7" s="8" t="s">
        <v>5</v>
      </c>
      <c r="E7" s="8" t="s">
        <v>6</v>
      </c>
      <c r="F7" s="9" t="s">
        <v>7</v>
      </c>
      <c r="G7" s="9" t="s">
        <v>7</v>
      </c>
      <c r="H7" s="9" t="s">
        <v>7</v>
      </c>
      <c r="I7" s="9" t="s">
        <v>7</v>
      </c>
    </row>
    <row r="8" spans="1:9" ht="13.5">
      <c r="A8" s="7" t="s">
        <v>8</v>
      </c>
      <c r="B8" s="8" t="s">
        <v>9</v>
      </c>
      <c r="C8" s="8" t="s">
        <v>10</v>
      </c>
      <c r="D8" s="8" t="s">
        <v>9</v>
      </c>
      <c r="E8" s="8" t="s">
        <v>10</v>
      </c>
      <c r="F8" s="9" t="s">
        <v>11</v>
      </c>
      <c r="G8" s="9" t="s">
        <v>12</v>
      </c>
      <c r="H8" s="9" t="s">
        <v>11</v>
      </c>
      <c r="I8" s="9" t="s">
        <v>12</v>
      </c>
    </row>
    <row r="9" spans="1:9" ht="14.25">
      <c r="A9" s="10" t="s">
        <v>13</v>
      </c>
      <c r="B9" s="11">
        <f>+B20</f>
        <v>90</v>
      </c>
      <c r="C9" s="11">
        <f>+C20</f>
        <v>190</v>
      </c>
      <c r="D9" s="12"/>
      <c r="E9" s="12"/>
      <c r="F9" s="13" t="s">
        <v>14</v>
      </c>
      <c r="G9" s="13" t="s">
        <v>14</v>
      </c>
      <c r="H9" s="13" t="s">
        <v>14</v>
      </c>
      <c r="I9" s="13" t="s">
        <v>14</v>
      </c>
    </row>
    <row r="10" spans="1:11" ht="14.25">
      <c r="A10" s="14" t="s">
        <v>15</v>
      </c>
      <c r="B10" s="15">
        <f>73</f>
        <v>73</v>
      </c>
      <c r="C10" s="15">
        <f>133</f>
        <v>133</v>
      </c>
      <c r="D10" s="15">
        <f aca="true" t="shared" si="0" ref="D10:E16">+B10-B9</f>
        <v>-17</v>
      </c>
      <c r="E10" s="15">
        <f t="shared" si="0"/>
        <v>-57</v>
      </c>
      <c r="F10" s="13" t="s">
        <v>14</v>
      </c>
      <c r="G10" s="13" t="s">
        <v>14</v>
      </c>
      <c r="H10" s="13" t="s">
        <v>14</v>
      </c>
      <c r="I10" s="13" t="s">
        <v>14</v>
      </c>
      <c r="K10" s="16">
        <v>39052</v>
      </c>
    </row>
    <row r="11" spans="1:11" ht="14.25">
      <c r="A11" s="14" t="s">
        <v>16</v>
      </c>
      <c r="B11" s="15">
        <f>138</f>
        <v>138</v>
      </c>
      <c r="C11" s="15">
        <f>193</f>
        <v>193</v>
      </c>
      <c r="D11" s="15">
        <f t="shared" si="0"/>
        <v>65</v>
      </c>
      <c r="E11" s="15">
        <f t="shared" si="0"/>
        <v>60</v>
      </c>
      <c r="F11" s="13" t="s">
        <v>14</v>
      </c>
      <c r="G11" s="13" t="s">
        <v>14</v>
      </c>
      <c r="H11" s="17">
        <f aca="true" t="shared" si="1" ref="H11:I16">ROUND((B11-B10)/B10,4)</f>
        <v>0.8904</v>
      </c>
      <c r="I11" s="17">
        <f t="shared" si="1"/>
        <v>0.4511</v>
      </c>
      <c r="K11" s="16">
        <v>39417</v>
      </c>
    </row>
    <row r="12" spans="1:11" ht="14.25">
      <c r="A12" s="14" t="s">
        <v>17</v>
      </c>
      <c r="B12" s="15">
        <v>45</v>
      </c>
      <c r="C12" s="15">
        <v>95</v>
      </c>
      <c r="D12" s="15">
        <f t="shared" si="0"/>
        <v>-93</v>
      </c>
      <c r="E12" s="15">
        <f t="shared" si="0"/>
        <v>-98</v>
      </c>
      <c r="F12" s="13" t="s">
        <v>14</v>
      </c>
      <c r="G12" s="13" t="s">
        <v>14</v>
      </c>
      <c r="H12" s="17">
        <f t="shared" si="1"/>
        <v>-0.6739</v>
      </c>
      <c r="I12" s="17">
        <f t="shared" si="1"/>
        <v>-0.5078</v>
      </c>
      <c r="K12" s="3">
        <v>39783</v>
      </c>
    </row>
    <row r="13" spans="1:11" ht="14.25">
      <c r="A13" s="14" t="s">
        <v>18</v>
      </c>
      <c r="B13" s="15">
        <f>+B68</f>
        <v>130</v>
      </c>
      <c r="C13" s="15">
        <f>+C68</f>
        <v>170</v>
      </c>
      <c r="D13" s="15">
        <f t="shared" si="0"/>
        <v>85</v>
      </c>
      <c r="E13" s="15">
        <f t="shared" si="0"/>
        <v>75</v>
      </c>
      <c r="F13" s="13" t="s">
        <v>14</v>
      </c>
      <c r="G13" s="13" t="s">
        <v>14</v>
      </c>
      <c r="H13" s="17">
        <f t="shared" si="1"/>
        <v>1.8889</v>
      </c>
      <c r="I13" s="17">
        <f t="shared" si="1"/>
        <v>0.7895</v>
      </c>
      <c r="K13" s="18">
        <v>40148</v>
      </c>
    </row>
    <row r="14" spans="1:11" ht="14.25">
      <c r="A14" s="14" t="s">
        <v>19</v>
      </c>
      <c r="B14" s="15">
        <f>+B80</f>
        <v>225</v>
      </c>
      <c r="C14" s="15">
        <f>+C80</f>
        <v>325</v>
      </c>
      <c r="D14" s="15">
        <f t="shared" si="0"/>
        <v>95</v>
      </c>
      <c r="E14" s="15">
        <f t="shared" si="0"/>
        <v>155</v>
      </c>
      <c r="F14" s="13" t="s">
        <v>14</v>
      </c>
      <c r="G14" s="13" t="s">
        <v>14</v>
      </c>
      <c r="H14" s="17">
        <f t="shared" si="1"/>
        <v>0.7308</v>
      </c>
      <c r="I14" s="17">
        <f t="shared" si="1"/>
        <v>0.9118</v>
      </c>
      <c r="K14" s="18" t="s">
        <v>20</v>
      </c>
    </row>
    <row r="15" spans="1:11" ht="14.25">
      <c r="A15" s="14" t="s">
        <v>21</v>
      </c>
      <c r="B15" s="15">
        <f>+B92</f>
        <v>0</v>
      </c>
      <c r="C15" s="15">
        <f>+C92</f>
        <v>0</v>
      </c>
      <c r="D15" s="15">
        <f t="shared" si="0"/>
        <v>-225</v>
      </c>
      <c r="E15" s="15">
        <f t="shared" si="0"/>
        <v>-325</v>
      </c>
      <c r="F15" s="13" t="s">
        <v>14</v>
      </c>
      <c r="G15" s="13" t="s">
        <v>14</v>
      </c>
      <c r="H15" s="17">
        <f t="shared" si="1"/>
        <v>-1</v>
      </c>
      <c r="I15" s="17">
        <f t="shared" si="1"/>
        <v>-1</v>
      </c>
      <c r="K15" s="18" t="s">
        <v>22</v>
      </c>
    </row>
    <row r="16" spans="1:11" ht="14.25">
      <c r="A16" s="19" t="s">
        <v>23</v>
      </c>
      <c r="B16" s="20">
        <f>+B104</f>
        <v>0</v>
      </c>
      <c r="C16" s="20">
        <f>+C104</f>
        <v>0</v>
      </c>
      <c r="D16" s="15">
        <f t="shared" si="0"/>
        <v>0</v>
      </c>
      <c r="E16" s="15">
        <f t="shared" si="0"/>
        <v>0</v>
      </c>
      <c r="F16" s="13" t="s">
        <v>14</v>
      </c>
      <c r="G16" s="13" t="s">
        <v>14</v>
      </c>
      <c r="H16" s="17" t="e">
        <f t="shared" si="1"/>
        <v>#DIV/0!</v>
      </c>
      <c r="I16" s="17" t="e">
        <f t="shared" si="1"/>
        <v>#DIV/0!</v>
      </c>
      <c r="K16" s="18" t="s">
        <v>24</v>
      </c>
    </row>
    <row r="17" spans="1:11" ht="14.25">
      <c r="A17" s="21" t="s">
        <v>25</v>
      </c>
      <c r="B17" s="11">
        <f>110</f>
        <v>110</v>
      </c>
      <c r="C17" s="11">
        <f>207</f>
        <v>207</v>
      </c>
      <c r="D17" s="11"/>
      <c r="E17" s="11"/>
      <c r="F17" s="12"/>
      <c r="G17" s="12"/>
      <c r="H17" s="12"/>
      <c r="I17" s="22"/>
      <c r="K17" s="3">
        <v>39696</v>
      </c>
    </row>
    <row r="18" spans="1:9" ht="13.5">
      <c r="A18" s="14" t="s">
        <v>26</v>
      </c>
      <c r="B18" s="15">
        <f>70</f>
        <v>70</v>
      </c>
      <c r="C18" s="15">
        <f>167</f>
        <v>167</v>
      </c>
      <c r="D18" s="15">
        <f>+B18-B17</f>
        <v>-40</v>
      </c>
      <c r="E18" s="15">
        <f>+C18-C17</f>
        <v>-40</v>
      </c>
      <c r="F18" s="17">
        <f>ROUND((B18-B17)/B17,4)</f>
        <v>-0.3636</v>
      </c>
      <c r="G18" s="17">
        <f>ROUND((C18-C17)/C17,4)</f>
        <v>-0.1932</v>
      </c>
      <c r="H18" s="17"/>
      <c r="I18" s="23"/>
    </row>
    <row r="19" spans="1:11" ht="13.5">
      <c r="A19" s="14" t="s">
        <v>27</v>
      </c>
      <c r="B19" s="15">
        <f>90</f>
        <v>90</v>
      </c>
      <c r="C19" s="15">
        <f>190</f>
        <v>190</v>
      </c>
      <c r="D19" s="15">
        <f aca="true" t="shared" si="2" ref="D19:D44">+B19-B18</f>
        <v>20</v>
      </c>
      <c r="E19" s="15">
        <f aca="true" t="shared" si="3" ref="E19:E44">+C19-C18</f>
        <v>23</v>
      </c>
      <c r="F19" s="17">
        <f aca="true" t="shared" si="4" ref="F19:F44">ROUND((B19-B18)/B18,4)</f>
        <v>0.2857</v>
      </c>
      <c r="G19" s="17">
        <f aca="true" t="shared" si="5" ref="G19:G44">ROUND((C19-C18)/C18,4)</f>
        <v>0.1377</v>
      </c>
      <c r="H19" s="17"/>
      <c r="I19" s="23"/>
      <c r="K19"/>
    </row>
    <row r="20" spans="1:11" ht="13.5">
      <c r="A20" s="19" t="s">
        <v>28</v>
      </c>
      <c r="B20" s="20">
        <f>90</f>
        <v>90</v>
      </c>
      <c r="C20" s="20">
        <f>190</f>
        <v>190</v>
      </c>
      <c r="D20" s="20">
        <f t="shared" si="2"/>
        <v>0</v>
      </c>
      <c r="E20" s="20">
        <f t="shared" si="3"/>
        <v>0</v>
      </c>
      <c r="F20" s="24">
        <f t="shared" si="4"/>
        <v>0</v>
      </c>
      <c r="G20" s="24">
        <f t="shared" si="5"/>
        <v>0</v>
      </c>
      <c r="H20" s="24"/>
      <c r="I20" s="25"/>
      <c r="K20" s="3">
        <v>38687</v>
      </c>
    </row>
    <row r="21" spans="1:11" ht="14.25">
      <c r="A21" s="10" t="s">
        <v>29</v>
      </c>
      <c r="B21" s="11">
        <f>65</f>
        <v>65</v>
      </c>
      <c r="C21" s="11">
        <f>170</f>
        <v>170</v>
      </c>
      <c r="D21" s="11">
        <f t="shared" si="2"/>
        <v>-25</v>
      </c>
      <c r="E21" s="11">
        <f t="shared" si="3"/>
        <v>-20</v>
      </c>
      <c r="F21" s="12">
        <f t="shared" si="4"/>
        <v>-0.2778</v>
      </c>
      <c r="G21" s="12">
        <f t="shared" si="5"/>
        <v>-0.1053</v>
      </c>
      <c r="H21" s="12"/>
      <c r="I21" s="22"/>
      <c r="K21"/>
    </row>
    <row r="22" spans="1:11" ht="13.5">
      <c r="A22" s="14" t="s">
        <v>30</v>
      </c>
      <c r="B22" s="15">
        <f>80</f>
        <v>80</v>
      </c>
      <c r="C22" s="15">
        <f>188</f>
        <v>188</v>
      </c>
      <c r="D22" s="15">
        <f t="shared" si="2"/>
        <v>15</v>
      </c>
      <c r="E22" s="15">
        <f t="shared" si="3"/>
        <v>18</v>
      </c>
      <c r="F22" s="17">
        <f t="shared" si="4"/>
        <v>0.2308</v>
      </c>
      <c r="G22" s="17">
        <f t="shared" si="5"/>
        <v>0.1059</v>
      </c>
      <c r="H22" s="17"/>
      <c r="I22" s="23"/>
      <c r="K22"/>
    </row>
    <row r="23" spans="1:11" ht="13.5">
      <c r="A23" s="14" t="s">
        <v>31</v>
      </c>
      <c r="B23" s="15">
        <f>80</f>
        <v>80</v>
      </c>
      <c r="C23" s="15">
        <f>188</f>
        <v>188</v>
      </c>
      <c r="D23" s="15">
        <f t="shared" si="2"/>
        <v>0</v>
      </c>
      <c r="E23" s="15">
        <f t="shared" si="3"/>
        <v>0</v>
      </c>
      <c r="F23" s="17">
        <f t="shared" si="4"/>
        <v>0</v>
      </c>
      <c r="G23" s="17">
        <f t="shared" si="5"/>
        <v>0</v>
      </c>
      <c r="H23" s="17"/>
      <c r="I23" s="23"/>
      <c r="K23" s="3">
        <v>38777</v>
      </c>
    </row>
    <row r="24" spans="1:9" ht="13.5">
      <c r="A24" s="14" t="s">
        <v>32</v>
      </c>
      <c r="B24" s="15">
        <f>90</f>
        <v>90</v>
      </c>
      <c r="C24" s="15">
        <f>198</f>
        <v>198</v>
      </c>
      <c r="D24" s="15">
        <f t="shared" si="2"/>
        <v>10</v>
      </c>
      <c r="E24" s="15">
        <f t="shared" si="3"/>
        <v>10</v>
      </c>
      <c r="F24" s="17">
        <f t="shared" si="4"/>
        <v>0.125</v>
      </c>
      <c r="G24" s="17">
        <f t="shared" si="5"/>
        <v>0.0532</v>
      </c>
      <c r="H24" s="17"/>
      <c r="I24" s="23"/>
    </row>
    <row r="25" spans="1:9" ht="13.5">
      <c r="A25" s="14" t="s">
        <v>33</v>
      </c>
      <c r="B25" s="15">
        <f>95</f>
        <v>95</v>
      </c>
      <c r="C25" s="15">
        <f>198</f>
        <v>198</v>
      </c>
      <c r="D25" s="15">
        <f t="shared" si="2"/>
        <v>5</v>
      </c>
      <c r="E25" s="15">
        <f t="shared" si="3"/>
        <v>0</v>
      </c>
      <c r="F25" s="17">
        <f t="shared" si="4"/>
        <v>0.0556</v>
      </c>
      <c r="G25" s="17">
        <f t="shared" si="5"/>
        <v>0</v>
      </c>
      <c r="H25" s="17"/>
      <c r="I25" s="23"/>
    </row>
    <row r="26" spans="1:11" ht="13.5">
      <c r="A26" s="14" t="s">
        <v>34</v>
      </c>
      <c r="B26" s="15">
        <f>104</f>
        <v>104</v>
      </c>
      <c r="C26" s="15">
        <f>203</f>
        <v>203</v>
      </c>
      <c r="D26" s="15">
        <f t="shared" si="2"/>
        <v>9</v>
      </c>
      <c r="E26" s="15">
        <f t="shared" si="3"/>
        <v>5</v>
      </c>
      <c r="F26" s="17">
        <f t="shared" si="4"/>
        <v>0.0947</v>
      </c>
      <c r="G26" s="17">
        <f t="shared" si="5"/>
        <v>0.0253</v>
      </c>
      <c r="H26" s="17"/>
      <c r="I26" s="23"/>
      <c r="K26" s="3">
        <v>38869</v>
      </c>
    </row>
    <row r="27" spans="1:9" ht="13.5">
      <c r="A27" s="14" t="s">
        <v>35</v>
      </c>
      <c r="B27" s="15">
        <f>103</f>
        <v>103</v>
      </c>
      <c r="C27" s="15">
        <f>193</f>
        <v>193</v>
      </c>
      <c r="D27" s="15">
        <f t="shared" si="2"/>
        <v>-1</v>
      </c>
      <c r="E27" s="15">
        <f t="shared" si="3"/>
        <v>-10</v>
      </c>
      <c r="F27" s="17">
        <f t="shared" si="4"/>
        <v>-0.0096</v>
      </c>
      <c r="G27" s="17">
        <f t="shared" si="5"/>
        <v>-0.0493</v>
      </c>
      <c r="H27" s="17"/>
      <c r="I27" s="23"/>
    </row>
    <row r="28" spans="1:9" ht="13.5">
      <c r="A28" s="26" t="s">
        <v>36</v>
      </c>
      <c r="B28" s="15">
        <f>73</f>
        <v>73</v>
      </c>
      <c r="C28" s="15">
        <f>153</f>
        <v>153</v>
      </c>
      <c r="D28" s="15">
        <f t="shared" si="2"/>
        <v>-30</v>
      </c>
      <c r="E28" s="15">
        <f t="shared" si="3"/>
        <v>-40</v>
      </c>
      <c r="F28" s="17">
        <f t="shared" si="4"/>
        <v>-0.2913</v>
      </c>
      <c r="G28" s="17">
        <f t="shared" si="5"/>
        <v>-0.2073</v>
      </c>
      <c r="H28" s="17">
        <f>ROUND((B28-B17)/B17,4)</f>
        <v>-0.3364</v>
      </c>
      <c r="I28" s="23">
        <f>ROUND((C28-C17)/C17,4)</f>
        <v>-0.2609</v>
      </c>
    </row>
    <row r="29" spans="1:11" ht="13.5">
      <c r="A29" s="26" t="s">
        <v>37</v>
      </c>
      <c r="B29" s="15">
        <f>81</f>
        <v>81</v>
      </c>
      <c r="C29" s="15">
        <f>153</f>
        <v>153</v>
      </c>
      <c r="D29" s="15">
        <f t="shared" si="2"/>
        <v>8</v>
      </c>
      <c r="E29" s="15">
        <f t="shared" si="3"/>
        <v>0</v>
      </c>
      <c r="F29" s="17">
        <f t="shared" si="4"/>
        <v>0.1096</v>
      </c>
      <c r="G29" s="17">
        <f t="shared" si="5"/>
        <v>0</v>
      </c>
      <c r="H29" s="17">
        <f aca="true" t="shared" si="6" ref="H29:H79">ROUND((B29-B18)/B18,4)</f>
        <v>0.1571</v>
      </c>
      <c r="I29" s="23">
        <f aca="true" t="shared" si="7" ref="I29:I79">ROUND((C29-C18)/C18,4)</f>
        <v>-0.0838</v>
      </c>
      <c r="K29" s="3">
        <v>38961</v>
      </c>
    </row>
    <row r="30" spans="1:9" ht="13.5">
      <c r="A30" s="14" t="s">
        <v>38</v>
      </c>
      <c r="B30" s="15">
        <f>73</f>
        <v>73</v>
      </c>
      <c r="C30" s="15">
        <f>143</f>
        <v>143</v>
      </c>
      <c r="D30" s="15">
        <f t="shared" si="2"/>
        <v>-8</v>
      </c>
      <c r="E30" s="15">
        <f t="shared" si="3"/>
        <v>-10</v>
      </c>
      <c r="F30" s="17">
        <f t="shared" si="4"/>
        <v>-0.0988</v>
      </c>
      <c r="G30" s="17">
        <f t="shared" si="5"/>
        <v>-0.0654</v>
      </c>
      <c r="H30" s="17">
        <f t="shared" si="6"/>
        <v>-0.1889</v>
      </c>
      <c r="I30" s="23">
        <f t="shared" si="7"/>
        <v>-0.2474</v>
      </c>
    </row>
    <row r="31" spans="1:9" ht="13.5">
      <c r="A31" s="14" t="s">
        <v>39</v>
      </c>
      <c r="B31" s="15">
        <f>68</f>
        <v>68</v>
      </c>
      <c r="C31" s="15">
        <f>133</f>
        <v>133</v>
      </c>
      <c r="D31" s="15">
        <f t="shared" si="2"/>
        <v>-5</v>
      </c>
      <c r="E31" s="15">
        <f t="shared" si="3"/>
        <v>-10</v>
      </c>
      <c r="F31" s="17">
        <f t="shared" si="4"/>
        <v>-0.0685</v>
      </c>
      <c r="G31" s="17">
        <f t="shared" si="5"/>
        <v>-0.0699</v>
      </c>
      <c r="H31" s="17">
        <f t="shared" si="6"/>
        <v>-0.2444</v>
      </c>
      <c r="I31" s="23">
        <f t="shared" si="7"/>
        <v>-0.3</v>
      </c>
    </row>
    <row r="32" spans="1:11" ht="13.5">
      <c r="A32" s="19" t="s">
        <v>40</v>
      </c>
      <c r="B32" s="20">
        <f>73</f>
        <v>73</v>
      </c>
      <c r="C32" s="20">
        <f>133</f>
        <v>133</v>
      </c>
      <c r="D32" s="20">
        <f t="shared" si="2"/>
        <v>5</v>
      </c>
      <c r="E32" s="20">
        <f t="shared" si="3"/>
        <v>0</v>
      </c>
      <c r="F32" s="24">
        <f t="shared" si="4"/>
        <v>0.0735</v>
      </c>
      <c r="G32" s="24">
        <f t="shared" si="5"/>
        <v>0</v>
      </c>
      <c r="H32" s="24">
        <f t="shared" si="6"/>
        <v>0.1231</v>
      </c>
      <c r="I32" s="25">
        <f t="shared" si="7"/>
        <v>-0.2176</v>
      </c>
      <c r="K32" s="3">
        <v>39052</v>
      </c>
    </row>
    <row r="33" spans="1:11" ht="14.25">
      <c r="A33" s="10" t="s">
        <v>41</v>
      </c>
      <c r="B33" s="11">
        <f>93</f>
        <v>93</v>
      </c>
      <c r="C33" s="11">
        <f>153</f>
        <v>153</v>
      </c>
      <c r="D33" s="11">
        <f t="shared" si="2"/>
        <v>20</v>
      </c>
      <c r="E33" s="11">
        <f t="shared" si="3"/>
        <v>20</v>
      </c>
      <c r="F33" s="12">
        <f t="shared" si="4"/>
        <v>0.274</v>
      </c>
      <c r="G33" s="12">
        <f t="shared" si="5"/>
        <v>0.1504</v>
      </c>
      <c r="H33" s="27">
        <f t="shared" si="6"/>
        <v>0.1625</v>
      </c>
      <c r="I33" s="28">
        <f t="shared" si="7"/>
        <v>-0.1862</v>
      </c>
      <c r="K33"/>
    </row>
    <row r="34" spans="1:9" ht="13.5">
      <c r="A34" s="14" t="s">
        <v>42</v>
      </c>
      <c r="B34" s="15">
        <f>110</f>
        <v>110</v>
      </c>
      <c r="C34" s="15">
        <f>183</f>
        <v>183</v>
      </c>
      <c r="D34" s="15">
        <f t="shared" si="2"/>
        <v>17</v>
      </c>
      <c r="E34" s="15">
        <f t="shared" si="3"/>
        <v>30</v>
      </c>
      <c r="F34" s="17">
        <f t="shared" si="4"/>
        <v>0.1828</v>
      </c>
      <c r="G34" s="17">
        <f t="shared" si="5"/>
        <v>0.1961</v>
      </c>
      <c r="H34" s="17">
        <f t="shared" si="6"/>
        <v>0.375</v>
      </c>
      <c r="I34" s="23">
        <f t="shared" si="7"/>
        <v>-0.0266</v>
      </c>
    </row>
    <row r="35" spans="1:11" ht="13.5">
      <c r="A35" s="14" t="s">
        <v>43</v>
      </c>
      <c r="B35" s="15">
        <f>167</f>
        <v>167</v>
      </c>
      <c r="C35" s="15">
        <f>248</f>
        <v>248</v>
      </c>
      <c r="D35" s="15">
        <f t="shared" si="2"/>
        <v>57</v>
      </c>
      <c r="E35" s="15">
        <f t="shared" si="3"/>
        <v>65</v>
      </c>
      <c r="F35" s="17">
        <f t="shared" si="4"/>
        <v>0.5182</v>
      </c>
      <c r="G35" s="17">
        <f t="shared" si="5"/>
        <v>0.3552</v>
      </c>
      <c r="H35" s="17">
        <f t="shared" si="6"/>
        <v>0.8556</v>
      </c>
      <c r="I35" s="23">
        <f t="shared" si="7"/>
        <v>0.2525</v>
      </c>
      <c r="K35" s="3">
        <v>39142</v>
      </c>
    </row>
    <row r="36" spans="1:9" ht="13.5">
      <c r="A36" s="14" t="s">
        <v>44</v>
      </c>
      <c r="B36" s="15">
        <f>137</f>
        <v>137</v>
      </c>
      <c r="C36" s="15">
        <f>218</f>
        <v>218</v>
      </c>
      <c r="D36" s="15">
        <f t="shared" si="2"/>
        <v>-30</v>
      </c>
      <c r="E36" s="15">
        <f t="shared" si="3"/>
        <v>-30</v>
      </c>
      <c r="F36" s="17">
        <f t="shared" si="4"/>
        <v>-0.1796</v>
      </c>
      <c r="G36" s="17">
        <f t="shared" si="5"/>
        <v>-0.121</v>
      </c>
      <c r="H36" s="17">
        <f t="shared" si="6"/>
        <v>0.4421</v>
      </c>
      <c r="I36" s="23">
        <f t="shared" si="7"/>
        <v>0.101</v>
      </c>
    </row>
    <row r="37" spans="1:9" ht="13.5">
      <c r="A37" s="14" t="s">
        <v>45</v>
      </c>
      <c r="B37" s="15">
        <f>105</f>
        <v>105</v>
      </c>
      <c r="C37" s="15">
        <f>168</f>
        <v>168</v>
      </c>
      <c r="D37" s="15">
        <f t="shared" si="2"/>
        <v>-32</v>
      </c>
      <c r="E37" s="15">
        <f t="shared" si="3"/>
        <v>-50</v>
      </c>
      <c r="F37" s="17">
        <f t="shared" si="4"/>
        <v>-0.2336</v>
      </c>
      <c r="G37" s="17">
        <f t="shared" si="5"/>
        <v>-0.2294</v>
      </c>
      <c r="H37" s="17">
        <f t="shared" si="6"/>
        <v>0.0096</v>
      </c>
      <c r="I37" s="23">
        <f t="shared" si="7"/>
        <v>-0.1724</v>
      </c>
    </row>
    <row r="38" spans="1:11" ht="13.5">
      <c r="A38" s="14" t="s">
        <v>46</v>
      </c>
      <c r="B38" s="15">
        <f>105</f>
        <v>105</v>
      </c>
      <c r="C38" s="15">
        <f>168</f>
        <v>168</v>
      </c>
      <c r="D38" s="15">
        <f t="shared" si="2"/>
        <v>0</v>
      </c>
      <c r="E38" s="15">
        <f t="shared" si="3"/>
        <v>0</v>
      </c>
      <c r="F38" s="17">
        <f t="shared" si="4"/>
        <v>0</v>
      </c>
      <c r="G38" s="17">
        <f t="shared" si="5"/>
        <v>0</v>
      </c>
      <c r="H38" s="17">
        <f t="shared" si="6"/>
        <v>0.0194</v>
      </c>
      <c r="I38" s="23">
        <f t="shared" si="7"/>
        <v>-0.1295</v>
      </c>
      <c r="K38" s="3">
        <v>39234</v>
      </c>
    </row>
    <row r="39" spans="1:9" ht="13.5">
      <c r="A39" s="14" t="s">
        <v>47</v>
      </c>
      <c r="B39" s="15">
        <f>105</f>
        <v>105</v>
      </c>
      <c r="C39" s="15">
        <f>168</f>
        <v>168</v>
      </c>
      <c r="D39" s="15">
        <f t="shared" si="2"/>
        <v>0</v>
      </c>
      <c r="E39" s="15">
        <f t="shared" si="3"/>
        <v>0</v>
      </c>
      <c r="F39" s="17">
        <f t="shared" si="4"/>
        <v>0</v>
      </c>
      <c r="G39" s="17">
        <f t="shared" si="5"/>
        <v>0</v>
      </c>
      <c r="H39" s="17">
        <f t="shared" si="6"/>
        <v>0.4384</v>
      </c>
      <c r="I39" s="23">
        <f t="shared" si="7"/>
        <v>0.098</v>
      </c>
    </row>
    <row r="40" spans="1:9" ht="13.5">
      <c r="A40" s="26" t="s">
        <v>48</v>
      </c>
      <c r="B40" s="15">
        <f>110</f>
        <v>110</v>
      </c>
      <c r="C40" s="15">
        <f>178</f>
        <v>178</v>
      </c>
      <c r="D40" s="15">
        <f t="shared" si="2"/>
        <v>5</v>
      </c>
      <c r="E40" s="15">
        <f t="shared" si="3"/>
        <v>10</v>
      </c>
      <c r="F40" s="17">
        <f t="shared" si="4"/>
        <v>0.0476</v>
      </c>
      <c r="G40" s="17">
        <f t="shared" si="5"/>
        <v>0.0595</v>
      </c>
      <c r="H40" s="17">
        <f t="shared" si="6"/>
        <v>0.358</v>
      </c>
      <c r="I40" s="23">
        <f t="shared" si="7"/>
        <v>0.1634</v>
      </c>
    </row>
    <row r="41" spans="1:11" ht="13.5">
      <c r="A41" s="26" t="s">
        <v>49</v>
      </c>
      <c r="B41" s="15">
        <f>130</f>
        <v>130</v>
      </c>
      <c r="C41" s="15">
        <f>193</f>
        <v>193</v>
      </c>
      <c r="D41" s="15">
        <f t="shared" si="2"/>
        <v>20</v>
      </c>
      <c r="E41" s="15">
        <f t="shared" si="3"/>
        <v>15</v>
      </c>
      <c r="F41" s="17">
        <f t="shared" si="4"/>
        <v>0.1818</v>
      </c>
      <c r="G41" s="17">
        <f t="shared" si="5"/>
        <v>0.0843</v>
      </c>
      <c r="H41" s="17">
        <f t="shared" si="6"/>
        <v>0.7808</v>
      </c>
      <c r="I41" s="23">
        <f t="shared" si="7"/>
        <v>0.3497</v>
      </c>
      <c r="K41" s="3">
        <v>39326</v>
      </c>
    </row>
    <row r="42" spans="1:9" ht="13.5">
      <c r="A42" s="14" t="s">
        <v>50</v>
      </c>
      <c r="B42" s="15">
        <f>123</f>
        <v>123</v>
      </c>
      <c r="C42" s="15">
        <f>188</f>
        <v>188</v>
      </c>
      <c r="D42" s="15">
        <f t="shared" si="2"/>
        <v>-7</v>
      </c>
      <c r="E42" s="15">
        <f t="shared" si="3"/>
        <v>-5</v>
      </c>
      <c r="F42" s="17">
        <f t="shared" si="4"/>
        <v>-0.0538</v>
      </c>
      <c r="G42" s="17">
        <f t="shared" si="5"/>
        <v>-0.0259</v>
      </c>
      <c r="H42" s="17">
        <f t="shared" si="6"/>
        <v>0.8088</v>
      </c>
      <c r="I42" s="23">
        <f t="shared" si="7"/>
        <v>0.4135</v>
      </c>
    </row>
    <row r="43" spans="1:9" ht="13.5">
      <c r="A43" s="14" t="s">
        <v>51</v>
      </c>
      <c r="B43" s="15">
        <f>118</f>
        <v>118</v>
      </c>
      <c r="C43" s="15">
        <f>173</f>
        <v>173</v>
      </c>
      <c r="D43" s="15">
        <f t="shared" si="2"/>
        <v>-5</v>
      </c>
      <c r="E43" s="15">
        <f t="shared" si="3"/>
        <v>-15</v>
      </c>
      <c r="F43" s="17">
        <f t="shared" si="4"/>
        <v>-0.0407</v>
      </c>
      <c r="G43" s="17">
        <f t="shared" si="5"/>
        <v>-0.0798</v>
      </c>
      <c r="H43" s="17">
        <f t="shared" si="6"/>
        <v>0.6164</v>
      </c>
      <c r="I43" s="23">
        <f t="shared" si="7"/>
        <v>0.3008</v>
      </c>
    </row>
    <row r="44" spans="1:11" ht="13.5">
      <c r="A44" s="19" t="s">
        <v>52</v>
      </c>
      <c r="B44" s="20">
        <f>138</f>
        <v>138</v>
      </c>
      <c r="C44" s="20">
        <f>193</f>
        <v>193</v>
      </c>
      <c r="D44" s="20">
        <f t="shared" si="2"/>
        <v>20</v>
      </c>
      <c r="E44" s="20">
        <f t="shared" si="3"/>
        <v>20</v>
      </c>
      <c r="F44" s="24">
        <f t="shared" si="4"/>
        <v>0.1695</v>
      </c>
      <c r="G44" s="24">
        <f t="shared" si="5"/>
        <v>0.1156</v>
      </c>
      <c r="H44" s="24">
        <f>ROUND((B44-B33)/B33,4)</f>
        <v>0.4839</v>
      </c>
      <c r="I44" s="25">
        <f>ROUND((C44-C33)/C33,4)</f>
        <v>0.2614</v>
      </c>
      <c r="K44" s="3">
        <v>39417</v>
      </c>
    </row>
    <row r="45" spans="1:11" ht="14.25">
      <c r="A45" s="10" t="s">
        <v>53</v>
      </c>
      <c r="B45" s="11">
        <f>188</f>
        <v>188</v>
      </c>
      <c r="C45" s="11">
        <f>273</f>
        <v>273</v>
      </c>
      <c r="D45" s="11">
        <f aca="true" t="shared" si="8" ref="D45:D63">+B45-B44</f>
        <v>50</v>
      </c>
      <c r="E45" s="11">
        <f aca="true" t="shared" si="9" ref="E45:E63">+C45-C44</f>
        <v>80</v>
      </c>
      <c r="F45" s="12">
        <f aca="true" t="shared" si="10" ref="F45:F80">ROUND((B45-B44)/B44,4)</f>
        <v>0.3623</v>
      </c>
      <c r="G45" s="12">
        <f aca="true" t="shared" si="11" ref="G45:G80">ROUND((C45-C44)/C44,4)</f>
        <v>0.4145</v>
      </c>
      <c r="H45" s="17">
        <f t="shared" si="6"/>
        <v>0.7091</v>
      </c>
      <c r="I45" s="23">
        <f t="shared" si="7"/>
        <v>0.4918</v>
      </c>
      <c r="K45"/>
    </row>
    <row r="46" spans="1:9" ht="13.5">
      <c r="A46" s="14" t="s">
        <v>54</v>
      </c>
      <c r="B46" s="15">
        <f>173</f>
        <v>173</v>
      </c>
      <c r="C46" s="15">
        <f>258</f>
        <v>258</v>
      </c>
      <c r="D46" s="15">
        <f t="shared" si="8"/>
        <v>-15</v>
      </c>
      <c r="E46" s="15">
        <f t="shared" si="9"/>
        <v>-15</v>
      </c>
      <c r="F46" s="17">
        <f t="shared" si="10"/>
        <v>-0.0798</v>
      </c>
      <c r="G46" s="17">
        <f t="shared" si="11"/>
        <v>-0.0549</v>
      </c>
      <c r="H46" s="17">
        <f t="shared" si="6"/>
        <v>0.0359</v>
      </c>
      <c r="I46" s="23">
        <f t="shared" si="7"/>
        <v>0.0403</v>
      </c>
    </row>
    <row r="47" spans="1:11" ht="13.5">
      <c r="A47" s="14" t="s">
        <v>55</v>
      </c>
      <c r="B47" s="15">
        <f>183</f>
        <v>183</v>
      </c>
      <c r="C47" s="15">
        <f>268</f>
        <v>268</v>
      </c>
      <c r="D47" s="15">
        <f t="shared" si="8"/>
        <v>10</v>
      </c>
      <c r="E47" s="15">
        <f t="shared" si="9"/>
        <v>10</v>
      </c>
      <c r="F47" s="17">
        <f t="shared" si="10"/>
        <v>0.0578</v>
      </c>
      <c r="G47" s="17">
        <f t="shared" si="11"/>
        <v>0.0388</v>
      </c>
      <c r="H47" s="17">
        <f t="shared" si="6"/>
        <v>0.3358</v>
      </c>
      <c r="I47" s="23">
        <f t="shared" si="7"/>
        <v>0.2294</v>
      </c>
      <c r="K47" s="3">
        <v>39508</v>
      </c>
    </row>
    <row r="48" spans="1:9" ht="13.5">
      <c r="A48" s="14" t="s">
        <v>56</v>
      </c>
      <c r="B48" s="15">
        <f>333</f>
        <v>333</v>
      </c>
      <c r="C48" s="15">
        <f>418</f>
        <v>418</v>
      </c>
      <c r="D48" s="15">
        <f t="shared" si="8"/>
        <v>150</v>
      </c>
      <c r="E48" s="15">
        <f t="shared" si="9"/>
        <v>150</v>
      </c>
      <c r="F48" s="17">
        <f t="shared" si="10"/>
        <v>0.8197</v>
      </c>
      <c r="G48" s="17">
        <f t="shared" si="11"/>
        <v>0.5597</v>
      </c>
      <c r="H48" s="17">
        <f t="shared" si="6"/>
        <v>2.1714</v>
      </c>
      <c r="I48" s="23">
        <f t="shared" si="7"/>
        <v>1.4881</v>
      </c>
    </row>
    <row r="49" spans="1:11" ht="13.5">
      <c r="A49" s="14" t="s">
        <v>57</v>
      </c>
      <c r="B49" s="15">
        <f>331</f>
        <v>331</v>
      </c>
      <c r="C49" s="15">
        <f>416</f>
        <v>416</v>
      </c>
      <c r="D49" s="15">
        <f t="shared" si="8"/>
        <v>-2</v>
      </c>
      <c r="E49" s="15">
        <f t="shared" si="9"/>
        <v>-2</v>
      </c>
      <c r="F49" s="17">
        <f t="shared" si="10"/>
        <v>-0.006</v>
      </c>
      <c r="G49" s="17">
        <f t="shared" si="11"/>
        <v>-0.0048</v>
      </c>
      <c r="H49" s="17">
        <f t="shared" si="6"/>
        <v>2.1524</v>
      </c>
      <c r="I49" s="23">
        <f t="shared" si="7"/>
        <v>1.4762</v>
      </c>
      <c r="K49"/>
    </row>
    <row r="50" spans="1:11" ht="13.5">
      <c r="A50" s="14" t="s">
        <v>58</v>
      </c>
      <c r="B50" s="15">
        <f>301</f>
        <v>301</v>
      </c>
      <c r="C50" s="15">
        <f>400</f>
        <v>400</v>
      </c>
      <c r="D50" s="15">
        <f t="shared" si="8"/>
        <v>-30</v>
      </c>
      <c r="E50" s="15">
        <f t="shared" si="9"/>
        <v>-16</v>
      </c>
      <c r="F50" s="17">
        <f t="shared" si="10"/>
        <v>-0.0906</v>
      </c>
      <c r="G50" s="17">
        <f t="shared" si="11"/>
        <v>-0.0385</v>
      </c>
      <c r="H50" s="17">
        <f t="shared" si="6"/>
        <v>1.8667</v>
      </c>
      <c r="I50" s="23">
        <f t="shared" si="7"/>
        <v>1.381</v>
      </c>
      <c r="K50" s="3">
        <v>39600</v>
      </c>
    </row>
    <row r="51" spans="1:9" ht="13.5">
      <c r="A51" s="14" t="s">
        <v>59</v>
      </c>
      <c r="B51" s="15">
        <f>331</f>
        <v>331</v>
      </c>
      <c r="C51" s="15">
        <f>430</f>
        <v>430</v>
      </c>
      <c r="D51" s="15">
        <f t="shared" si="8"/>
        <v>30</v>
      </c>
      <c r="E51" s="15">
        <f t="shared" si="9"/>
        <v>30</v>
      </c>
      <c r="F51" s="17">
        <f t="shared" si="10"/>
        <v>0.0997</v>
      </c>
      <c r="G51" s="17">
        <f t="shared" si="11"/>
        <v>0.075</v>
      </c>
      <c r="H51" s="17">
        <f t="shared" si="6"/>
        <v>2.0091</v>
      </c>
      <c r="I51" s="23">
        <f t="shared" si="7"/>
        <v>1.4157</v>
      </c>
    </row>
    <row r="52" spans="1:9" ht="13.5">
      <c r="A52" s="26" t="s">
        <v>60</v>
      </c>
      <c r="B52" s="15">
        <f>281</f>
        <v>281</v>
      </c>
      <c r="C52" s="15">
        <f>370</f>
        <v>370</v>
      </c>
      <c r="D52" s="15">
        <f t="shared" si="8"/>
        <v>-50</v>
      </c>
      <c r="E52" s="15">
        <f t="shared" si="9"/>
        <v>-60</v>
      </c>
      <c r="F52" s="17">
        <f t="shared" si="10"/>
        <v>-0.1511</v>
      </c>
      <c r="G52" s="17">
        <f t="shared" si="11"/>
        <v>-0.1395</v>
      </c>
      <c r="H52" s="17">
        <f t="shared" si="6"/>
        <v>1.1615</v>
      </c>
      <c r="I52" s="23">
        <f t="shared" si="7"/>
        <v>0.9171</v>
      </c>
    </row>
    <row r="53" spans="1:11" ht="13.5">
      <c r="A53" s="26" t="s">
        <v>61</v>
      </c>
      <c r="B53" s="15">
        <f>127</f>
        <v>127</v>
      </c>
      <c r="C53" s="15">
        <f>200</f>
        <v>200</v>
      </c>
      <c r="D53" s="15">
        <f t="shared" si="8"/>
        <v>-154</v>
      </c>
      <c r="E53" s="15">
        <f t="shared" si="9"/>
        <v>-170</v>
      </c>
      <c r="F53" s="17">
        <f t="shared" si="10"/>
        <v>-0.548</v>
      </c>
      <c r="G53" s="17">
        <f t="shared" si="11"/>
        <v>-0.4595</v>
      </c>
      <c r="H53" s="17">
        <f t="shared" si="6"/>
        <v>0.0325</v>
      </c>
      <c r="I53" s="23">
        <f t="shared" si="7"/>
        <v>0.0638</v>
      </c>
      <c r="K53" s="3">
        <v>39692</v>
      </c>
    </row>
    <row r="54" spans="1:9" ht="13.5">
      <c r="A54" s="14" t="s">
        <v>62</v>
      </c>
      <c r="B54" s="15">
        <f>50</f>
        <v>50</v>
      </c>
      <c r="C54" s="15">
        <f>120</f>
        <v>120</v>
      </c>
      <c r="D54" s="15">
        <f t="shared" si="8"/>
        <v>-77</v>
      </c>
      <c r="E54" s="15">
        <f t="shared" si="9"/>
        <v>-80</v>
      </c>
      <c r="F54" s="17">
        <f t="shared" si="10"/>
        <v>-0.6063</v>
      </c>
      <c r="G54" s="17">
        <f t="shared" si="11"/>
        <v>-0.4</v>
      </c>
      <c r="H54" s="17">
        <f t="shared" si="6"/>
        <v>-0.5763</v>
      </c>
      <c r="I54" s="23">
        <f t="shared" si="7"/>
        <v>-0.3064</v>
      </c>
    </row>
    <row r="55" spans="1:9" ht="13.5">
      <c r="A55" s="14" t="s">
        <v>63</v>
      </c>
      <c r="B55" s="15">
        <f>15</f>
        <v>15</v>
      </c>
      <c r="C55" s="15">
        <f>35</f>
        <v>35</v>
      </c>
      <c r="D55" s="15">
        <f t="shared" si="8"/>
        <v>-35</v>
      </c>
      <c r="E55" s="15">
        <f t="shared" si="9"/>
        <v>-85</v>
      </c>
      <c r="F55" s="17">
        <f t="shared" si="10"/>
        <v>-0.7</v>
      </c>
      <c r="G55" s="17">
        <f t="shared" si="11"/>
        <v>-0.7083</v>
      </c>
      <c r="H55" s="17">
        <f t="shared" si="6"/>
        <v>-0.8913</v>
      </c>
      <c r="I55" s="23">
        <f t="shared" si="7"/>
        <v>-0.8187</v>
      </c>
    </row>
    <row r="56" spans="1:11" ht="13.5">
      <c r="A56" s="19" t="s">
        <v>64</v>
      </c>
      <c r="B56" s="20">
        <f>45</f>
        <v>45</v>
      </c>
      <c r="C56" s="20">
        <f>95</f>
        <v>95</v>
      </c>
      <c r="D56" s="20">
        <f t="shared" si="8"/>
        <v>30</v>
      </c>
      <c r="E56" s="20">
        <f t="shared" si="9"/>
        <v>60</v>
      </c>
      <c r="F56" s="24">
        <f t="shared" si="10"/>
        <v>2</v>
      </c>
      <c r="G56" s="24">
        <f t="shared" si="11"/>
        <v>1.7143</v>
      </c>
      <c r="H56" s="24">
        <f>ROUND((B56-B45)/B45,4)</f>
        <v>-0.7606</v>
      </c>
      <c r="I56" s="25">
        <f>ROUND((C56-C45)/C45,4)</f>
        <v>-0.652</v>
      </c>
      <c r="K56" s="3">
        <v>39783</v>
      </c>
    </row>
    <row r="57" spans="1:11" ht="14.25">
      <c r="A57" s="10" t="s">
        <v>65</v>
      </c>
      <c r="B57" s="11">
        <f>45</f>
        <v>45</v>
      </c>
      <c r="C57" s="11">
        <f>95</f>
        <v>95</v>
      </c>
      <c r="D57" s="11">
        <f t="shared" si="8"/>
        <v>0</v>
      </c>
      <c r="E57" s="11">
        <f t="shared" si="9"/>
        <v>0</v>
      </c>
      <c r="F57" s="12">
        <f t="shared" si="10"/>
        <v>0</v>
      </c>
      <c r="G57" s="12">
        <f t="shared" si="11"/>
        <v>0</v>
      </c>
      <c r="H57" s="17">
        <f t="shared" si="6"/>
        <v>-0.7399</v>
      </c>
      <c r="I57" s="23">
        <f t="shared" si="7"/>
        <v>-0.6318</v>
      </c>
      <c r="K57"/>
    </row>
    <row r="58" spans="1:9" ht="13.5">
      <c r="A58" s="14" t="s">
        <v>66</v>
      </c>
      <c r="B58" s="15">
        <f>20</f>
        <v>20</v>
      </c>
      <c r="C58" s="15">
        <f>70</f>
        <v>70</v>
      </c>
      <c r="D58" s="15">
        <f t="shared" si="8"/>
        <v>-25</v>
      </c>
      <c r="E58" s="15">
        <f t="shared" si="9"/>
        <v>-25</v>
      </c>
      <c r="F58" s="17">
        <f t="shared" si="10"/>
        <v>-0.5556</v>
      </c>
      <c r="G58" s="17">
        <f t="shared" si="11"/>
        <v>-0.2632</v>
      </c>
      <c r="H58" s="17">
        <f t="shared" si="6"/>
        <v>-0.8907</v>
      </c>
      <c r="I58" s="23">
        <f t="shared" si="7"/>
        <v>-0.7388</v>
      </c>
    </row>
    <row r="59" spans="1:11" ht="13.5">
      <c r="A59" s="14" t="s">
        <v>67</v>
      </c>
      <c r="B59" s="15">
        <f>10</f>
        <v>10</v>
      </c>
      <c r="C59" s="15">
        <f>50</f>
        <v>50</v>
      </c>
      <c r="D59" s="15">
        <f t="shared" si="8"/>
        <v>-10</v>
      </c>
      <c r="E59" s="15">
        <f t="shared" si="9"/>
        <v>-20</v>
      </c>
      <c r="F59" s="17">
        <f t="shared" si="10"/>
        <v>-0.5</v>
      </c>
      <c r="G59" s="17">
        <f t="shared" si="11"/>
        <v>-0.2857</v>
      </c>
      <c r="H59" s="17">
        <f t="shared" si="6"/>
        <v>-0.97</v>
      </c>
      <c r="I59" s="23">
        <f t="shared" si="7"/>
        <v>-0.8804</v>
      </c>
      <c r="K59" s="3">
        <v>39873</v>
      </c>
    </row>
    <row r="60" spans="1:9" ht="13.5">
      <c r="A60" s="14" t="s">
        <v>68</v>
      </c>
      <c r="B60" s="15">
        <f>5</f>
        <v>5</v>
      </c>
      <c r="C60" s="15">
        <f>58</f>
        <v>58</v>
      </c>
      <c r="D60" s="15">
        <f t="shared" si="8"/>
        <v>-5</v>
      </c>
      <c r="E60" s="15">
        <f t="shared" si="9"/>
        <v>8</v>
      </c>
      <c r="F60" s="17">
        <f t="shared" si="10"/>
        <v>-0.5</v>
      </c>
      <c r="G60" s="17">
        <f t="shared" si="11"/>
        <v>0.16</v>
      </c>
      <c r="H60" s="17">
        <f t="shared" si="6"/>
        <v>-0.9849</v>
      </c>
      <c r="I60" s="23">
        <f t="shared" si="7"/>
        <v>-0.8606</v>
      </c>
    </row>
    <row r="61" spans="1:11" ht="13.5">
      <c r="A61" s="14" t="s">
        <v>69</v>
      </c>
      <c r="B61" s="15">
        <f>35</f>
        <v>35</v>
      </c>
      <c r="C61" s="15">
        <f>103</f>
        <v>103</v>
      </c>
      <c r="D61" s="15">
        <f t="shared" si="8"/>
        <v>30</v>
      </c>
      <c r="E61" s="15">
        <f t="shared" si="9"/>
        <v>45</v>
      </c>
      <c r="F61" s="17">
        <f t="shared" si="10"/>
        <v>6</v>
      </c>
      <c r="G61" s="17">
        <f t="shared" si="11"/>
        <v>0.7759</v>
      </c>
      <c r="H61" s="17">
        <f t="shared" si="6"/>
        <v>-0.8837</v>
      </c>
      <c r="I61" s="23">
        <f t="shared" si="7"/>
        <v>-0.7425</v>
      </c>
      <c r="K61"/>
    </row>
    <row r="62" spans="1:11" ht="13.5">
      <c r="A62" s="14" t="s">
        <v>70</v>
      </c>
      <c r="B62" s="15">
        <f>50</f>
        <v>50</v>
      </c>
      <c r="C62" s="15">
        <f>103</f>
        <v>103</v>
      </c>
      <c r="D62" s="15">
        <f t="shared" si="8"/>
        <v>15</v>
      </c>
      <c r="E62" s="15">
        <f t="shared" si="9"/>
        <v>0</v>
      </c>
      <c r="F62" s="17">
        <f t="shared" si="10"/>
        <v>0.4286</v>
      </c>
      <c r="G62" s="17">
        <f t="shared" si="11"/>
        <v>0</v>
      </c>
      <c r="H62" s="17">
        <f t="shared" si="6"/>
        <v>-0.8489</v>
      </c>
      <c r="I62" s="23">
        <f t="shared" si="7"/>
        <v>-0.7605</v>
      </c>
      <c r="K62" s="3">
        <v>39965</v>
      </c>
    </row>
    <row r="63" spans="1:9" ht="13.5">
      <c r="A63" s="14" t="s">
        <v>71</v>
      </c>
      <c r="B63" s="15">
        <f>90</f>
        <v>90</v>
      </c>
      <c r="C63" s="15">
        <f>145</f>
        <v>145</v>
      </c>
      <c r="D63" s="15">
        <f t="shared" si="8"/>
        <v>40</v>
      </c>
      <c r="E63" s="15">
        <f t="shared" si="9"/>
        <v>42</v>
      </c>
      <c r="F63" s="17">
        <f t="shared" si="10"/>
        <v>0.8</v>
      </c>
      <c r="G63" s="17">
        <f t="shared" si="11"/>
        <v>0.4078</v>
      </c>
      <c r="H63" s="17">
        <f t="shared" si="6"/>
        <v>-0.6797</v>
      </c>
      <c r="I63" s="23">
        <f t="shared" si="7"/>
        <v>-0.6081</v>
      </c>
    </row>
    <row r="64" spans="1:10" ht="13.5">
      <c r="A64" s="26" t="s">
        <v>72</v>
      </c>
      <c r="B64" s="15">
        <f>90</f>
        <v>90</v>
      </c>
      <c r="C64" s="15">
        <f>145</f>
        <v>145</v>
      </c>
      <c r="D64" s="15">
        <f aca="true" t="shared" si="12" ref="D64:D71">IF((+B64)=0,(0),(+B64-B63))</f>
        <v>0</v>
      </c>
      <c r="E64" s="15">
        <f aca="true" t="shared" si="13" ref="E64:E71">IF((+C64)=0,(0),(+C64-C63))</f>
        <v>0</v>
      </c>
      <c r="F64" s="17">
        <f t="shared" si="10"/>
        <v>0</v>
      </c>
      <c r="G64" s="17">
        <f t="shared" si="11"/>
        <v>0</v>
      </c>
      <c r="H64" s="17">
        <f t="shared" si="6"/>
        <v>-0.2913</v>
      </c>
      <c r="I64" s="23">
        <f t="shared" si="7"/>
        <v>-0.275</v>
      </c>
      <c r="J64" t="s">
        <v>73</v>
      </c>
    </row>
    <row r="65" spans="1:11" ht="13.5">
      <c r="A65" s="26" t="s">
        <v>74</v>
      </c>
      <c r="B65" s="15">
        <f>120</f>
        <v>120</v>
      </c>
      <c r="C65" s="15">
        <f>175</f>
        <v>175</v>
      </c>
      <c r="D65" s="15">
        <f t="shared" si="12"/>
        <v>30</v>
      </c>
      <c r="E65" s="15">
        <f t="shared" si="13"/>
        <v>30</v>
      </c>
      <c r="F65" s="17">
        <f t="shared" si="10"/>
        <v>0.3333</v>
      </c>
      <c r="G65" s="17">
        <f t="shared" si="11"/>
        <v>0.2069</v>
      </c>
      <c r="H65" s="17">
        <f t="shared" si="6"/>
        <v>1.4</v>
      </c>
      <c r="I65" s="23">
        <f t="shared" si="7"/>
        <v>0.4583</v>
      </c>
      <c r="K65" s="3">
        <v>40057</v>
      </c>
    </row>
    <row r="66" spans="1:9" ht="13.5">
      <c r="A66" s="14" t="s">
        <v>75</v>
      </c>
      <c r="B66" s="15">
        <f>100</f>
        <v>100</v>
      </c>
      <c r="C66" s="15">
        <f>150</f>
        <v>150</v>
      </c>
      <c r="D66" s="15">
        <f t="shared" si="12"/>
        <v>-20</v>
      </c>
      <c r="E66" s="15">
        <f t="shared" si="13"/>
        <v>-25</v>
      </c>
      <c r="F66" s="17">
        <f t="shared" si="10"/>
        <v>-0.1667</v>
      </c>
      <c r="G66" s="17">
        <f t="shared" si="11"/>
        <v>-0.1429</v>
      </c>
      <c r="H66" s="17">
        <f t="shared" si="6"/>
        <v>5.6667</v>
      </c>
      <c r="I66" s="23">
        <f t="shared" si="7"/>
        <v>3.2857</v>
      </c>
    </row>
    <row r="67" spans="1:9" ht="13.5">
      <c r="A67" s="14" t="s">
        <v>76</v>
      </c>
      <c r="B67" s="15">
        <f>70</f>
        <v>70</v>
      </c>
      <c r="C67" s="15">
        <f>120</f>
        <v>120</v>
      </c>
      <c r="D67" s="15">
        <f t="shared" si="12"/>
        <v>-30</v>
      </c>
      <c r="E67" s="15">
        <f t="shared" si="13"/>
        <v>-30</v>
      </c>
      <c r="F67" s="17">
        <f t="shared" si="10"/>
        <v>-0.3</v>
      </c>
      <c r="G67" s="17">
        <f t="shared" si="11"/>
        <v>-0.2</v>
      </c>
      <c r="H67" s="17">
        <f t="shared" si="6"/>
        <v>0.5556</v>
      </c>
      <c r="I67" s="23">
        <f t="shared" si="7"/>
        <v>0.2632</v>
      </c>
    </row>
    <row r="68" spans="1:11" ht="13.5">
      <c r="A68" s="19" t="s">
        <v>77</v>
      </c>
      <c r="B68" s="20">
        <f>130</f>
        <v>130</v>
      </c>
      <c r="C68" s="20">
        <f>170</f>
        <v>170</v>
      </c>
      <c r="D68" s="15">
        <f t="shared" si="12"/>
        <v>60</v>
      </c>
      <c r="E68" s="15">
        <f t="shared" si="13"/>
        <v>50</v>
      </c>
      <c r="F68" s="24">
        <f t="shared" si="10"/>
        <v>0.8571</v>
      </c>
      <c r="G68" s="24">
        <f t="shared" si="11"/>
        <v>0.4167</v>
      </c>
      <c r="H68" s="24">
        <f>ROUND((B68-B57)/B57,4)</f>
        <v>1.8889</v>
      </c>
      <c r="I68" s="25">
        <f>ROUND((C68-C57)/C57,4)</f>
        <v>0.7895</v>
      </c>
      <c r="K68" s="3">
        <v>40148</v>
      </c>
    </row>
    <row r="69" spans="1:11" ht="14.25">
      <c r="A69" s="10" t="s">
        <v>78</v>
      </c>
      <c r="B69" s="11">
        <f>170</f>
        <v>170</v>
      </c>
      <c r="C69" s="11">
        <f>220</f>
        <v>220</v>
      </c>
      <c r="D69" s="15">
        <f t="shared" si="12"/>
        <v>40</v>
      </c>
      <c r="E69" s="15">
        <f t="shared" si="13"/>
        <v>50</v>
      </c>
      <c r="F69" s="12">
        <f t="shared" si="10"/>
        <v>0.3077</v>
      </c>
      <c r="G69" s="12">
        <f t="shared" si="11"/>
        <v>0.2941</v>
      </c>
      <c r="H69" s="17">
        <f t="shared" si="6"/>
        <v>7.5</v>
      </c>
      <c r="I69" s="23">
        <f t="shared" si="7"/>
        <v>2.1429</v>
      </c>
      <c r="K69"/>
    </row>
    <row r="70" spans="1:9" ht="13.5">
      <c r="A70" s="14" t="s">
        <v>79</v>
      </c>
      <c r="B70" s="15">
        <f>165</f>
        <v>165</v>
      </c>
      <c r="C70" s="15">
        <f>230</f>
        <v>230</v>
      </c>
      <c r="D70" s="15">
        <f t="shared" si="12"/>
        <v>-5</v>
      </c>
      <c r="E70" s="15">
        <f t="shared" si="13"/>
        <v>10</v>
      </c>
      <c r="F70" s="17">
        <f t="shared" si="10"/>
        <v>-0.0294</v>
      </c>
      <c r="G70" s="17">
        <f t="shared" si="11"/>
        <v>0.0455</v>
      </c>
      <c r="H70" s="17">
        <f t="shared" si="6"/>
        <v>15.5</v>
      </c>
      <c r="I70" s="23">
        <f t="shared" si="7"/>
        <v>3.6</v>
      </c>
    </row>
    <row r="71" spans="1:11" ht="13.5">
      <c r="A71" s="14" t="s">
        <v>80</v>
      </c>
      <c r="B71" s="15">
        <f>205</f>
        <v>205</v>
      </c>
      <c r="C71" s="15">
        <f>270</f>
        <v>270</v>
      </c>
      <c r="D71" s="15">
        <f t="shared" si="12"/>
        <v>40</v>
      </c>
      <c r="E71" s="15">
        <f t="shared" si="13"/>
        <v>40</v>
      </c>
      <c r="F71" s="17">
        <f t="shared" si="10"/>
        <v>0.2424</v>
      </c>
      <c r="G71" s="17">
        <f t="shared" si="11"/>
        <v>0.1739</v>
      </c>
      <c r="H71" s="17">
        <f t="shared" si="6"/>
        <v>40</v>
      </c>
      <c r="I71" s="23">
        <f t="shared" si="7"/>
        <v>3.6552</v>
      </c>
      <c r="K71" s="3">
        <v>40238</v>
      </c>
    </row>
    <row r="72" spans="1:9" ht="13.5">
      <c r="A72" s="14" t="s">
        <v>81</v>
      </c>
      <c r="B72" s="15">
        <f>205</f>
        <v>205</v>
      </c>
      <c r="C72" s="15">
        <f>270</f>
        <v>270</v>
      </c>
      <c r="D72" s="15">
        <f aca="true" t="shared" si="14" ref="D72:D104">IF((+B72)=0,(0),(+B72-B71))</f>
        <v>0</v>
      </c>
      <c r="E72" s="15">
        <f aca="true" t="shared" si="15" ref="E72:E104">IF((+C72)=0,(0),(+C72-C71))</f>
        <v>0</v>
      </c>
      <c r="F72" s="17">
        <f t="shared" si="10"/>
        <v>0</v>
      </c>
      <c r="G72" s="17">
        <f t="shared" si="11"/>
        <v>0</v>
      </c>
      <c r="H72" s="17">
        <f t="shared" si="6"/>
        <v>4.8571</v>
      </c>
      <c r="I72" s="23">
        <f t="shared" si="7"/>
        <v>1.6214</v>
      </c>
    </row>
    <row r="73" spans="1:11" ht="13.5">
      <c r="A73" s="14" t="s">
        <v>82</v>
      </c>
      <c r="B73" s="15">
        <f>165</f>
        <v>165</v>
      </c>
      <c r="C73" s="15">
        <f>230</f>
        <v>230</v>
      </c>
      <c r="D73" s="15">
        <f t="shared" si="14"/>
        <v>-40</v>
      </c>
      <c r="E73" s="15">
        <f t="shared" si="15"/>
        <v>-40</v>
      </c>
      <c r="F73" s="17">
        <f t="shared" si="10"/>
        <v>-0.1951</v>
      </c>
      <c r="G73" s="17">
        <f t="shared" si="11"/>
        <v>-0.1481</v>
      </c>
      <c r="H73" s="17">
        <f t="shared" si="6"/>
        <v>2.3</v>
      </c>
      <c r="I73" s="23">
        <f t="shared" si="7"/>
        <v>1.233</v>
      </c>
      <c r="K73"/>
    </row>
    <row r="74" spans="1:11" ht="13.5">
      <c r="A74" s="14" t="s">
        <v>83</v>
      </c>
      <c r="B74" s="15">
        <f>155</f>
        <v>155</v>
      </c>
      <c r="C74" s="15">
        <f>215</f>
        <v>215</v>
      </c>
      <c r="D74" s="15">
        <f t="shared" si="14"/>
        <v>-10</v>
      </c>
      <c r="E74" s="15">
        <f t="shared" si="15"/>
        <v>-15</v>
      </c>
      <c r="F74" s="17">
        <f t="shared" si="10"/>
        <v>-0.0606</v>
      </c>
      <c r="G74" s="17">
        <f t="shared" si="11"/>
        <v>-0.0652</v>
      </c>
      <c r="H74" s="17">
        <f t="shared" si="6"/>
        <v>0.7222</v>
      </c>
      <c r="I74" s="23">
        <f t="shared" si="7"/>
        <v>0.4828</v>
      </c>
      <c r="K74" s="3">
        <v>40330</v>
      </c>
    </row>
    <row r="75" spans="1:9" ht="13.5">
      <c r="A75" s="14" t="s">
        <v>84</v>
      </c>
      <c r="B75" s="15">
        <f>125</f>
        <v>125</v>
      </c>
      <c r="C75" s="15">
        <f>195</f>
        <v>195</v>
      </c>
      <c r="D75" s="15">
        <f t="shared" si="14"/>
        <v>-30</v>
      </c>
      <c r="E75" s="15">
        <f t="shared" si="15"/>
        <v>-20</v>
      </c>
      <c r="F75" s="17">
        <f t="shared" si="10"/>
        <v>-0.1935</v>
      </c>
      <c r="G75" s="17">
        <f t="shared" si="11"/>
        <v>-0.093</v>
      </c>
      <c r="H75" s="17">
        <f t="shared" si="6"/>
        <v>0.3889</v>
      </c>
      <c r="I75" s="23">
        <f t="shared" si="7"/>
        <v>0.3448</v>
      </c>
    </row>
    <row r="76" spans="1:9" ht="13.5">
      <c r="A76" s="26" t="s">
        <v>85</v>
      </c>
      <c r="B76" s="15">
        <f>125</f>
        <v>125</v>
      </c>
      <c r="C76" s="15">
        <f>215</f>
        <v>215</v>
      </c>
      <c r="D76" s="15">
        <f t="shared" si="14"/>
        <v>0</v>
      </c>
      <c r="E76" s="15">
        <f t="shared" si="15"/>
        <v>20</v>
      </c>
      <c r="F76" s="17">
        <f t="shared" si="10"/>
        <v>0</v>
      </c>
      <c r="G76" s="17">
        <f t="shared" si="11"/>
        <v>0.1026</v>
      </c>
      <c r="H76" s="17">
        <f t="shared" si="6"/>
        <v>0.0417</v>
      </c>
      <c r="I76" s="23">
        <f t="shared" si="7"/>
        <v>0.2286</v>
      </c>
    </row>
    <row r="77" spans="1:11" ht="13.5">
      <c r="A77" s="26" t="s">
        <v>86</v>
      </c>
      <c r="B77" s="15">
        <f>140</f>
        <v>140</v>
      </c>
      <c r="C77" s="15">
        <f>235</f>
        <v>235</v>
      </c>
      <c r="D77" s="15">
        <f t="shared" si="14"/>
        <v>15</v>
      </c>
      <c r="E77" s="15">
        <f t="shared" si="15"/>
        <v>20</v>
      </c>
      <c r="F77" s="17">
        <f t="shared" si="10"/>
        <v>0.12</v>
      </c>
      <c r="G77" s="17">
        <f t="shared" si="11"/>
        <v>0.093</v>
      </c>
      <c r="H77" s="17">
        <f t="shared" si="6"/>
        <v>0.4</v>
      </c>
      <c r="I77" s="23">
        <f t="shared" si="7"/>
        <v>0.5667</v>
      </c>
      <c r="K77" s="3">
        <v>40422</v>
      </c>
    </row>
    <row r="78" spans="1:9" ht="13.5">
      <c r="A78" s="14" t="s">
        <v>87</v>
      </c>
      <c r="B78" s="15">
        <f>190</f>
        <v>190</v>
      </c>
      <c r="C78" s="15">
        <f>260</f>
        <v>260</v>
      </c>
      <c r="D78" s="15">
        <f t="shared" si="14"/>
        <v>50</v>
      </c>
      <c r="E78" s="15">
        <f t="shared" si="15"/>
        <v>25</v>
      </c>
      <c r="F78" s="17">
        <f t="shared" si="10"/>
        <v>0.3571</v>
      </c>
      <c r="G78" s="17">
        <f t="shared" si="11"/>
        <v>0.1064</v>
      </c>
      <c r="H78" s="17">
        <f t="shared" si="6"/>
        <v>1.7143</v>
      </c>
      <c r="I78" s="23">
        <f t="shared" si="7"/>
        <v>1.1667</v>
      </c>
    </row>
    <row r="79" spans="1:9" ht="13.5">
      <c r="A79" s="14" t="s">
        <v>88</v>
      </c>
      <c r="B79" s="15">
        <f>195</f>
        <v>195</v>
      </c>
      <c r="C79" s="15">
        <f>280</f>
        <v>280</v>
      </c>
      <c r="D79" s="15">
        <f t="shared" si="14"/>
        <v>5</v>
      </c>
      <c r="E79" s="15">
        <f t="shared" si="15"/>
        <v>20</v>
      </c>
      <c r="F79" s="17">
        <f t="shared" si="10"/>
        <v>0.0263</v>
      </c>
      <c r="G79" s="17">
        <f t="shared" si="11"/>
        <v>0.0769</v>
      </c>
      <c r="H79" s="17">
        <f t="shared" si="6"/>
        <v>0.5</v>
      </c>
      <c r="I79" s="23">
        <f t="shared" si="7"/>
        <v>0.6471</v>
      </c>
    </row>
    <row r="80" spans="1:11" ht="13.5">
      <c r="A80" s="19" t="s">
        <v>89</v>
      </c>
      <c r="B80" s="20">
        <f>225</f>
        <v>225</v>
      </c>
      <c r="C80" s="20">
        <f>325</f>
        <v>325</v>
      </c>
      <c r="D80" s="15">
        <f t="shared" si="14"/>
        <v>30</v>
      </c>
      <c r="E80" s="15">
        <f t="shared" si="15"/>
        <v>45</v>
      </c>
      <c r="F80" s="24">
        <f t="shared" si="10"/>
        <v>0.1538</v>
      </c>
      <c r="G80" s="24">
        <f t="shared" si="11"/>
        <v>0.1607</v>
      </c>
      <c r="H80" s="24">
        <f>ROUND((B80-B69)/B69,4)</f>
        <v>0.3235</v>
      </c>
      <c r="I80" s="25">
        <f>ROUND((C80-C69)/C69,4)</f>
        <v>0.4773</v>
      </c>
      <c r="K80" s="3">
        <v>40513</v>
      </c>
    </row>
    <row r="81" spans="1:11" ht="14.25">
      <c r="A81" s="10" t="s">
        <v>90</v>
      </c>
      <c r="B81" s="11">
        <f>285</f>
        <v>285</v>
      </c>
      <c r="C81" s="11">
        <f>380</f>
        <v>380</v>
      </c>
      <c r="D81" s="15">
        <f aca="true" t="shared" si="16" ref="D81:D92">IF((+B81)=0,(0),(+B81-B80))</f>
        <v>60</v>
      </c>
      <c r="E81" s="15">
        <f aca="true" t="shared" si="17" ref="E81:E92">IF((+C81)=0,(0),(+C81-C80))</f>
        <v>55</v>
      </c>
      <c r="F81" s="24">
        <f aca="true" t="shared" si="18" ref="F81:F104">ROUND((B81-B80)/B80,4)</f>
        <v>0.2667</v>
      </c>
      <c r="G81" s="24">
        <f aca="true" t="shared" si="19" ref="G81:G104">ROUND((C81-C80)/C80,4)</f>
        <v>0.1692</v>
      </c>
      <c r="H81" s="24">
        <f aca="true" t="shared" si="20" ref="H81:H104">ROUND((B81-B70)/B70,4)</f>
        <v>0.7273</v>
      </c>
      <c r="I81" s="25">
        <f aca="true" t="shared" si="21" ref="I81:I104">ROUND((C81-C70)/C70,4)</f>
        <v>0.6522</v>
      </c>
      <c r="K81"/>
    </row>
    <row r="82" spans="1:9" ht="13.5">
      <c r="A82" s="14" t="s">
        <v>91</v>
      </c>
      <c r="B82" s="15">
        <f>262</f>
        <v>262</v>
      </c>
      <c r="C82" s="15">
        <f>360</f>
        <v>360</v>
      </c>
      <c r="D82" s="15">
        <f t="shared" si="16"/>
        <v>-23</v>
      </c>
      <c r="E82" s="15">
        <f t="shared" si="17"/>
        <v>-20</v>
      </c>
      <c r="F82" s="24">
        <f t="shared" si="18"/>
        <v>-0.0807</v>
      </c>
      <c r="G82" s="24">
        <f t="shared" si="19"/>
        <v>-0.0526</v>
      </c>
      <c r="H82" s="24">
        <f t="shared" si="20"/>
        <v>0.278</v>
      </c>
      <c r="I82" s="25">
        <f t="shared" si="21"/>
        <v>0.3333</v>
      </c>
    </row>
    <row r="83" spans="1:11" ht="13.5">
      <c r="A83" s="14" t="s">
        <v>92</v>
      </c>
      <c r="B83" s="15">
        <f>262</f>
        <v>262</v>
      </c>
      <c r="C83" s="15">
        <f>360</f>
        <v>360</v>
      </c>
      <c r="D83" s="15">
        <f t="shared" si="16"/>
        <v>0</v>
      </c>
      <c r="E83" s="15">
        <f t="shared" si="17"/>
        <v>0</v>
      </c>
      <c r="F83" s="24">
        <f t="shared" si="18"/>
        <v>0</v>
      </c>
      <c r="G83" s="24">
        <f t="shared" si="19"/>
        <v>0</v>
      </c>
      <c r="H83" s="24">
        <f t="shared" si="20"/>
        <v>0.278</v>
      </c>
      <c r="I83" s="25">
        <f t="shared" si="21"/>
        <v>0.3333</v>
      </c>
      <c r="K83" s="3">
        <v>40603</v>
      </c>
    </row>
    <row r="84" spans="1:9" ht="13.5">
      <c r="A84" s="14" t="s">
        <v>93</v>
      </c>
      <c r="B84" s="15">
        <f>262</f>
        <v>262</v>
      </c>
      <c r="C84" s="15">
        <f>360</f>
        <v>360</v>
      </c>
      <c r="D84" s="15">
        <f t="shared" si="16"/>
        <v>0</v>
      </c>
      <c r="E84" s="15">
        <f t="shared" si="17"/>
        <v>0</v>
      </c>
      <c r="F84" s="24">
        <f t="shared" si="18"/>
        <v>0</v>
      </c>
      <c r="G84" s="24">
        <f t="shared" si="19"/>
        <v>0</v>
      </c>
      <c r="H84" s="24">
        <f t="shared" si="20"/>
        <v>0.5879</v>
      </c>
      <c r="I84" s="25">
        <f t="shared" si="21"/>
        <v>0.5652</v>
      </c>
    </row>
    <row r="85" spans="1:11" ht="13.5">
      <c r="A85" s="14" t="s">
        <v>94</v>
      </c>
      <c r="B85" s="15">
        <f>238</f>
        <v>238</v>
      </c>
      <c r="C85" s="15">
        <f>345</f>
        <v>345</v>
      </c>
      <c r="D85" s="15">
        <f t="shared" si="16"/>
        <v>-24</v>
      </c>
      <c r="E85" s="15">
        <f t="shared" si="17"/>
        <v>-15</v>
      </c>
      <c r="F85" s="24">
        <f t="shared" si="18"/>
        <v>-0.0916</v>
      </c>
      <c r="G85" s="24">
        <f t="shared" si="19"/>
        <v>-0.0417</v>
      </c>
      <c r="H85" s="24">
        <f t="shared" si="20"/>
        <v>0.5355</v>
      </c>
      <c r="I85" s="25">
        <f t="shared" si="21"/>
        <v>0.6047</v>
      </c>
      <c r="K85"/>
    </row>
    <row r="86" spans="1:11" ht="13.5">
      <c r="A86" s="14" t="s">
        <v>95</v>
      </c>
      <c r="B86" s="15">
        <f>258</f>
        <v>258</v>
      </c>
      <c r="C86" s="15">
        <f>360</f>
        <v>360</v>
      </c>
      <c r="D86" s="15">
        <f t="shared" si="16"/>
        <v>20</v>
      </c>
      <c r="E86" s="15">
        <f t="shared" si="17"/>
        <v>15</v>
      </c>
      <c r="F86" s="24">
        <f t="shared" si="18"/>
        <v>0.084</v>
      </c>
      <c r="G86" s="24">
        <f t="shared" si="19"/>
        <v>0.0435</v>
      </c>
      <c r="H86" s="24">
        <f t="shared" si="20"/>
        <v>1.064</v>
      </c>
      <c r="I86" s="25">
        <f t="shared" si="21"/>
        <v>0.8462</v>
      </c>
      <c r="K86" s="3">
        <v>40695</v>
      </c>
    </row>
    <row r="87" spans="1:9" ht="13.5">
      <c r="A87" s="14" t="s">
        <v>96</v>
      </c>
      <c r="B87" s="15">
        <f>258</f>
        <v>258</v>
      </c>
      <c r="C87" s="15">
        <f>360</f>
        <v>360</v>
      </c>
      <c r="D87" s="15">
        <f t="shared" si="16"/>
        <v>0</v>
      </c>
      <c r="E87" s="15">
        <f t="shared" si="17"/>
        <v>0</v>
      </c>
      <c r="F87" s="24">
        <f t="shared" si="18"/>
        <v>0</v>
      </c>
      <c r="G87" s="24">
        <f t="shared" si="19"/>
        <v>0</v>
      </c>
      <c r="H87" s="24">
        <f t="shared" si="20"/>
        <v>1.064</v>
      </c>
      <c r="I87" s="25">
        <f t="shared" si="21"/>
        <v>0.6744</v>
      </c>
    </row>
    <row r="88" spans="1:9" ht="13.5">
      <c r="A88" s="26" t="s">
        <v>97</v>
      </c>
      <c r="B88" s="15">
        <f>255</f>
        <v>255</v>
      </c>
      <c r="C88" s="15">
        <f>360</f>
        <v>360</v>
      </c>
      <c r="D88" s="15">
        <f t="shared" si="16"/>
        <v>-3</v>
      </c>
      <c r="E88" s="15">
        <f t="shared" si="17"/>
        <v>0</v>
      </c>
      <c r="F88" s="24">
        <f t="shared" si="18"/>
        <v>-0.0116</v>
      </c>
      <c r="G88" s="24">
        <f t="shared" si="19"/>
        <v>0</v>
      </c>
      <c r="H88" s="24">
        <f t="shared" si="20"/>
        <v>0.8214</v>
      </c>
      <c r="I88" s="25">
        <f t="shared" si="21"/>
        <v>0.5319</v>
      </c>
    </row>
    <row r="89" spans="1:11" ht="13.5">
      <c r="A89" s="26" t="s">
        <v>98</v>
      </c>
      <c r="B89" s="15">
        <f>255</f>
        <v>255</v>
      </c>
      <c r="C89" s="15">
        <f>365</f>
        <v>365</v>
      </c>
      <c r="D89" s="15">
        <f t="shared" si="16"/>
        <v>0</v>
      </c>
      <c r="E89" s="15">
        <f t="shared" si="17"/>
        <v>5</v>
      </c>
      <c r="F89" s="24">
        <f t="shared" si="18"/>
        <v>0</v>
      </c>
      <c r="G89" s="24">
        <f t="shared" si="19"/>
        <v>0.0139</v>
      </c>
      <c r="H89" s="24">
        <f t="shared" si="20"/>
        <v>0.3421</v>
      </c>
      <c r="I89" s="25">
        <f t="shared" si="21"/>
        <v>0.4038</v>
      </c>
      <c r="K89" s="3">
        <v>40787</v>
      </c>
    </row>
    <row r="90" spans="1:9" ht="13.5">
      <c r="A90" s="14" t="s">
        <v>99</v>
      </c>
      <c r="B90" s="15">
        <f>245</f>
        <v>245</v>
      </c>
      <c r="C90" s="15">
        <f>355</f>
        <v>355</v>
      </c>
      <c r="D90" s="15">
        <f t="shared" si="16"/>
        <v>-10</v>
      </c>
      <c r="E90" s="15">
        <f t="shared" si="17"/>
        <v>-10</v>
      </c>
      <c r="F90" s="24">
        <f t="shared" si="18"/>
        <v>-0.0392</v>
      </c>
      <c r="G90" s="24">
        <f t="shared" si="19"/>
        <v>-0.0274</v>
      </c>
      <c r="H90" s="24">
        <f t="shared" si="20"/>
        <v>0.2564</v>
      </c>
      <c r="I90" s="25">
        <f t="shared" si="21"/>
        <v>0.2679</v>
      </c>
    </row>
    <row r="91" spans="1:9" ht="13.5">
      <c r="A91" s="14" t="s">
        <v>100</v>
      </c>
      <c r="B91" s="15">
        <f>215</f>
        <v>215</v>
      </c>
      <c r="C91" s="15">
        <f>325</f>
        <v>325</v>
      </c>
      <c r="D91" s="15">
        <f t="shared" si="16"/>
        <v>-30</v>
      </c>
      <c r="E91" s="15">
        <f t="shared" si="17"/>
        <v>-30</v>
      </c>
      <c r="F91" s="24">
        <f t="shared" si="18"/>
        <v>-0.1224</v>
      </c>
      <c r="G91" s="24">
        <f t="shared" si="19"/>
        <v>-0.0845</v>
      </c>
      <c r="H91" s="24">
        <f t="shared" si="20"/>
        <v>-0.0444</v>
      </c>
      <c r="I91" s="25">
        <f t="shared" si="21"/>
        <v>0</v>
      </c>
    </row>
    <row r="92" spans="1:11" ht="13.5">
      <c r="A92" s="19" t="s">
        <v>101</v>
      </c>
      <c r="B92" s="20"/>
      <c r="C92" s="20"/>
      <c r="D92" s="20">
        <f t="shared" si="16"/>
        <v>0</v>
      </c>
      <c r="E92" s="20">
        <f t="shared" si="17"/>
        <v>0</v>
      </c>
      <c r="F92" s="24">
        <f t="shared" si="18"/>
        <v>-1</v>
      </c>
      <c r="G92" s="24">
        <f t="shared" si="19"/>
        <v>-1</v>
      </c>
      <c r="H92" s="24">
        <f t="shared" si="20"/>
        <v>-1</v>
      </c>
      <c r="I92" s="25">
        <f t="shared" si="21"/>
        <v>-1</v>
      </c>
      <c r="K92" s="3">
        <v>40878</v>
      </c>
    </row>
    <row r="93" spans="1:11" ht="14.25">
      <c r="A93" s="29" t="s">
        <v>102</v>
      </c>
      <c r="B93" s="30"/>
      <c r="C93" s="30"/>
      <c r="D93" s="30">
        <f t="shared" si="14"/>
        <v>0</v>
      </c>
      <c r="E93" s="30">
        <f t="shared" si="15"/>
        <v>0</v>
      </c>
      <c r="F93" s="24" t="e">
        <f t="shared" si="18"/>
        <v>#DIV/0!</v>
      </c>
      <c r="G93" s="24" t="e">
        <f t="shared" si="19"/>
        <v>#DIV/0!</v>
      </c>
      <c r="H93" s="24">
        <f t="shared" si="20"/>
        <v>-1</v>
      </c>
      <c r="I93" s="25">
        <f t="shared" si="21"/>
        <v>-1</v>
      </c>
      <c r="K93"/>
    </row>
    <row r="94" spans="1:9" ht="13.5">
      <c r="A94" s="14" t="s">
        <v>103</v>
      </c>
      <c r="B94" s="15"/>
      <c r="C94" s="15"/>
      <c r="D94" s="15">
        <f t="shared" si="14"/>
        <v>0</v>
      </c>
      <c r="E94" s="15">
        <f t="shared" si="15"/>
        <v>0</v>
      </c>
      <c r="F94" s="24" t="e">
        <f t="shared" si="18"/>
        <v>#DIV/0!</v>
      </c>
      <c r="G94" s="24" t="e">
        <f t="shared" si="19"/>
        <v>#DIV/0!</v>
      </c>
      <c r="H94" s="24">
        <f t="shared" si="20"/>
        <v>-1</v>
      </c>
      <c r="I94" s="25">
        <f t="shared" si="21"/>
        <v>-1</v>
      </c>
    </row>
    <row r="95" spans="1:11" ht="13.5">
      <c r="A95" s="14" t="s">
        <v>104</v>
      </c>
      <c r="B95" s="15"/>
      <c r="C95" s="15"/>
      <c r="D95" s="15">
        <f t="shared" si="14"/>
        <v>0</v>
      </c>
      <c r="E95" s="15">
        <f t="shared" si="15"/>
        <v>0</v>
      </c>
      <c r="F95" s="24" t="e">
        <f t="shared" si="18"/>
        <v>#DIV/0!</v>
      </c>
      <c r="G95" s="24" t="e">
        <f t="shared" si="19"/>
        <v>#DIV/0!</v>
      </c>
      <c r="H95" s="24">
        <f t="shared" si="20"/>
        <v>-1</v>
      </c>
      <c r="I95" s="25">
        <f t="shared" si="21"/>
        <v>-1</v>
      </c>
      <c r="K95" s="3">
        <v>40969</v>
      </c>
    </row>
    <row r="96" spans="1:9" ht="13.5">
      <c r="A96" s="14" t="s">
        <v>105</v>
      </c>
      <c r="B96" s="15"/>
      <c r="C96" s="15"/>
      <c r="D96" s="15">
        <f t="shared" si="14"/>
        <v>0</v>
      </c>
      <c r="E96" s="15">
        <f t="shared" si="15"/>
        <v>0</v>
      </c>
      <c r="F96" s="24" t="e">
        <f t="shared" si="18"/>
        <v>#DIV/0!</v>
      </c>
      <c r="G96" s="24" t="e">
        <f t="shared" si="19"/>
        <v>#DIV/0!</v>
      </c>
      <c r="H96" s="24">
        <f t="shared" si="20"/>
        <v>-1</v>
      </c>
      <c r="I96" s="25">
        <f t="shared" si="21"/>
        <v>-1</v>
      </c>
    </row>
    <row r="97" spans="1:11" ht="13.5">
      <c r="A97" s="14" t="s">
        <v>106</v>
      </c>
      <c r="B97" s="15"/>
      <c r="C97" s="15"/>
      <c r="D97" s="15">
        <f t="shared" si="14"/>
        <v>0</v>
      </c>
      <c r="E97" s="15">
        <f t="shared" si="15"/>
        <v>0</v>
      </c>
      <c r="F97" s="24" t="e">
        <f t="shared" si="18"/>
        <v>#DIV/0!</v>
      </c>
      <c r="G97" s="24" t="e">
        <f t="shared" si="19"/>
        <v>#DIV/0!</v>
      </c>
      <c r="H97" s="24">
        <f t="shared" si="20"/>
        <v>-1</v>
      </c>
      <c r="I97" s="25">
        <f t="shared" si="21"/>
        <v>-1</v>
      </c>
      <c r="K97"/>
    </row>
    <row r="98" spans="1:11" ht="13.5">
      <c r="A98" s="14" t="s">
        <v>107</v>
      </c>
      <c r="B98" s="15"/>
      <c r="C98" s="15"/>
      <c r="D98" s="15">
        <f t="shared" si="14"/>
        <v>0</v>
      </c>
      <c r="E98" s="15">
        <f t="shared" si="15"/>
        <v>0</v>
      </c>
      <c r="F98" s="24" t="e">
        <f t="shared" si="18"/>
        <v>#DIV/0!</v>
      </c>
      <c r="G98" s="24" t="e">
        <f t="shared" si="19"/>
        <v>#DIV/0!</v>
      </c>
      <c r="H98" s="24">
        <f t="shared" si="20"/>
        <v>-1</v>
      </c>
      <c r="I98" s="25">
        <f t="shared" si="21"/>
        <v>-1</v>
      </c>
      <c r="K98" s="3">
        <v>41061</v>
      </c>
    </row>
    <row r="99" spans="1:9" ht="13.5">
      <c r="A99" s="14" t="s">
        <v>108</v>
      </c>
      <c r="B99" s="15"/>
      <c r="C99" s="15"/>
      <c r="D99" s="15">
        <f t="shared" si="14"/>
        <v>0</v>
      </c>
      <c r="E99" s="15">
        <f t="shared" si="15"/>
        <v>0</v>
      </c>
      <c r="F99" s="24" t="e">
        <f t="shared" si="18"/>
        <v>#DIV/0!</v>
      </c>
      <c r="G99" s="24" t="e">
        <f t="shared" si="19"/>
        <v>#DIV/0!</v>
      </c>
      <c r="H99" s="24">
        <f t="shared" si="20"/>
        <v>-1</v>
      </c>
      <c r="I99" s="25">
        <f t="shared" si="21"/>
        <v>-1</v>
      </c>
    </row>
    <row r="100" spans="1:9" ht="13.5">
      <c r="A100" s="26" t="s">
        <v>109</v>
      </c>
      <c r="B100" s="15"/>
      <c r="C100" s="15"/>
      <c r="D100" s="15">
        <f t="shared" si="14"/>
        <v>0</v>
      </c>
      <c r="E100" s="15">
        <f t="shared" si="15"/>
        <v>0</v>
      </c>
      <c r="F100" s="24" t="e">
        <f t="shared" si="18"/>
        <v>#DIV/0!</v>
      </c>
      <c r="G100" s="24" t="e">
        <f t="shared" si="19"/>
        <v>#DIV/0!</v>
      </c>
      <c r="H100" s="24">
        <f t="shared" si="20"/>
        <v>-1</v>
      </c>
      <c r="I100" s="25">
        <f t="shared" si="21"/>
        <v>-1</v>
      </c>
    </row>
    <row r="101" spans="1:11" ht="13.5">
      <c r="A101" s="26" t="s">
        <v>110</v>
      </c>
      <c r="B101" s="15"/>
      <c r="C101" s="15"/>
      <c r="D101" s="15">
        <f t="shared" si="14"/>
        <v>0</v>
      </c>
      <c r="E101" s="15">
        <f t="shared" si="15"/>
        <v>0</v>
      </c>
      <c r="F101" s="24" t="e">
        <f t="shared" si="18"/>
        <v>#DIV/0!</v>
      </c>
      <c r="G101" s="24" t="e">
        <f t="shared" si="19"/>
        <v>#DIV/0!</v>
      </c>
      <c r="H101" s="24">
        <f t="shared" si="20"/>
        <v>-1</v>
      </c>
      <c r="I101" s="25">
        <f t="shared" si="21"/>
        <v>-1</v>
      </c>
      <c r="K101" s="3">
        <v>41153</v>
      </c>
    </row>
    <row r="102" spans="1:9" ht="13.5">
      <c r="A102" s="14" t="s">
        <v>111</v>
      </c>
      <c r="B102" s="15"/>
      <c r="C102" s="15"/>
      <c r="D102" s="15">
        <f t="shared" si="14"/>
        <v>0</v>
      </c>
      <c r="E102" s="15">
        <f t="shared" si="15"/>
        <v>0</v>
      </c>
      <c r="F102" s="24" t="e">
        <f t="shared" si="18"/>
        <v>#DIV/0!</v>
      </c>
      <c r="G102" s="24" t="e">
        <f t="shared" si="19"/>
        <v>#DIV/0!</v>
      </c>
      <c r="H102" s="24">
        <f t="shared" si="20"/>
        <v>-1</v>
      </c>
      <c r="I102" s="25">
        <f t="shared" si="21"/>
        <v>-1</v>
      </c>
    </row>
    <row r="103" spans="1:9" ht="13.5">
      <c r="A103" s="14" t="s">
        <v>112</v>
      </c>
      <c r="B103" s="15"/>
      <c r="C103" s="15"/>
      <c r="D103" s="15">
        <f t="shared" si="14"/>
        <v>0</v>
      </c>
      <c r="E103" s="15">
        <f t="shared" si="15"/>
        <v>0</v>
      </c>
      <c r="F103" s="24" t="e">
        <f t="shared" si="18"/>
        <v>#DIV/0!</v>
      </c>
      <c r="G103" s="24" t="e">
        <f t="shared" si="19"/>
        <v>#DIV/0!</v>
      </c>
      <c r="H103" s="24" t="e">
        <f t="shared" si="20"/>
        <v>#DIV/0!</v>
      </c>
      <c r="I103" s="25" t="e">
        <f t="shared" si="21"/>
        <v>#DIV/0!</v>
      </c>
    </row>
    <row r="104" spans="1:11" ht="13.5">
      <c r="A104" s="19" t="s">
        <v>113</v>
      </c>
      <c r="B104" s="20"/>
      <c r="C104" s="20"/>
      <c r="D104" s="15">
        <f t="shared" si="14"/>
        <v>0</v>
      </c>
      <c r="E104" s="15">
        <f t="shared" si="15"/>
        <v>0</v>
      </c>
      <c r="F104" s="24" t="e">
        <f t="shared" si="18"/>
        <v>#DIV/0!</v>
      </c>
      <c r="G104" s="24" t="e">
        <f t="shared" si="19"/>
        <v>#DIV/0!</v>
      </c>
      <c r="H104" s="24" t="e">
        <f t="shared" si="20"/>
        <v>#DIV/0!</v>
      </c>
      <c r="I104" s="25" t="e">
        <f t="shared" si="21"/>
        <v>#DIV/0!</v>
      </c>
      <c r="K104" s="3">
        <v>41244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pane ySplit="65535" topLeftCell="A13" activePane="topLeft" state="split"/>
      <selection pane="topLeft" activeCell="O11" activeCellId="1" sqref="A1:I4 O11"/>
      <selection pane="bottomLeft" activeCell="A13" sqref="A13"/>
    </sheetView>
  </sheetViews>
  <sheetFormatPr defaultColWidth="9.140625" defaultRowHeight="12.75"/>
  <cols>
    <col min="10" max="10" width="41.57421875" style="0" customWidth="1"/>
  </cols>
  <sheetData/>
  <sheetProtection selectLockedCells="1" selectUnlockedCells="1"/>
  <printOptions/>
  <pageMargins left="0" right="0" top="0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:I4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/>
  <cp:lastPrinted>2011-11-10T13:35:38Z</cp:lastPrinted>
  <dcterms:created xsi:type="dcterms:W3CDTF">2008-01-16T20:35:10Z</dcterms:created>
  <dcterms:modified xsi:type="dcterms:W3CDTF">2011-11-14T12:30:05Z</dcterms:modified>
  <cp:category/>
  <cp:version/>
  <cp:contentType/>
  <cp:contentStatus/>
  <cp:revision>1</cp:revision>
</cp:coreProperties>
</file>